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545" windowHeight="11760" activeTab="3"/>
  </bookViews>
  <sheets>
    <sheet name="AGOS_22" sheetId="4" r:id="rId1"/>
    <sheet name="Set_22" sheetId="5" r:id="rId2"/>
    <sheet name="OUT_22" sheetId="1" r:id="rId3"/>
    <sheet name="NOV_22" sheetId="2" r:id="rId4"/>
    <sheet name="Perdido_Suspenso" sheetId="6" r:id="rId5"/>
  </sheets>
  <definedNames>
    <definedName name="_xlnm._FilterDatabase" localSheetId="3" hidden="1">NOV_22!$A$2:$T$2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2" l="1"/>
  <c r="O50" i="2"/>
  <c r="G69" i="2"/>
  <c r="F69" i="2"/>
  <c r="E69" i="2"/>
  <c r="J43" i="1"/>
  <c r="G50" i="2" l="1"/>
  <c r="O42" i="2"/>
  <c r="O41" i="2"/>
  <c r="O40" i="2"/>
  <c r="O39" i="2"/>
  <c r="O32" i="2"/>
  <c r="O38" i="2"/>
  <c r="O33" i="2" l="1"/>
  <c r="O37" i="2"/>
  <c r="O34" i="2"/>
  <c r="O36" i="2"/>
  <c r="O35" i="2"/>
  <c r="E68" i="2" l="1"/>
  <c r="G65" i="2"/>
  <c r="G64" i="2"/>
  <c r="F64" i="2"/>
  <c r="G61" i="2"/>
  <c r="F61" i="2"/>
  <c r="O3" i="2"/>
  <c r="L5" i="6" l="1"/>
  <c r="N5" i="6" s="1"/>
  <c r="O9" i="6" l="1"/>
  <c r="J9" i="6"/>
  <c r="N4" i="6"/>
  <c r="O23" i="2"/>
  <c r="M7" i="6" l="1"/>
  <c r="M9" i="6" s="1"/>
  <c r="L7" i="6"/>
  <c r="L6" i="6"/>
  <c r="N6" i="6" s="1"/>
  <c r="N3" i="6"/>
  <c r="L3" i="6"/>
  <c r="N2" i="6"/>
  <c r="L9" i="6" l="1"/>
  <c r="N7" i="6"/>
  <c r="N9" i="6" s="1"/>
  <c r="M14" i="2"/>
  <c r="O31" i="2" l="1"/>
  <c r="O4" i="2" l="1"/>
  <c r="O5" i="2"/>
  <c r="K14" i="1"/>
  <c r="P4" i="2" l="1"/>
  <c r="P5" i="2"/>
  <c r="K17" i="2"/>
  <c r="P3" i="2" l="1"/>
  <c r="K30" i="2"/>
  <c r="O30" i="2" s="1"/>
  <c r="K14" i="2" l="1"/>
  <c r="L14" i="2"/>
  <c r="K11" i="2" l="1"/>
  <c r="L15" i="2" l="1"/>
  <c r="N7" i="2" l="1"/>
  <c r="N10" i="2"/>
  <c r="L16" i="2" l="1"/>
  <c r="O29" i="2" l="1"/>
  <c r="O8" i="2" l="1"/>
  <c r="P8" i="2" l="1"/>
  <c r="J5" i="5"/>
  <c r="I6" i="5"/>
  <c r="I8" i="5"/>
  <c r="L5" i="5"/>
  <c r="K5" i="5"/>
  <c r="L4" i="5"/>
  <c r="K4" i="5"/>
  <c r="L3" i="5"/>
  <c r="K3" i="5"/>
  <c r="G8" i="5"/>
  <c r="F8" i="5"/>
  <c r="J4" i="5"/>
  <c r="H6" i="4"/>
  <c r="I6" i="4"/>
  <c r="K8" i="5" l="1"/>
  <c r="H8" i="5"/>
  <c r="J3" i="5"/>
  <c r="J8" i="5" l="1"/>
  <c r="G6" i="4"/>
  <c r="F6" i="4"/>
  <c r="J5" i="4"/>
  <c r="L4" i="4"/>
  <c r="J3" i="4"/>
  <c r="K3" i="4" l="1"/>
  <c r="J6" i="4"/>
  <c r="L8" i="5"/>
  <c r="K5" i="4"/>
  <c r="L3" i="4" l="1"/>
  <c r="L6" i="4" s="1"/>
  <c r="K6" i="4"/>
  <c r="O17" i="2"/>
  <c r="N6" i="2"/>
  <c r="M12" i="2" l="1"/>
  <c r="O12" i="2" l="1"/>
  <c r="P12" i="2" l="1"/>
  <c r="O14" i="2"/>
  <c r="O9" i="2"/>
  <c r="M28" i="2"/>
  <c r="K28" i="2"/>
  <c r="L28" i="2"/>
  <c r="L50" i="2" s="1"/>
  <c r="P9" i="2" l="1"/>
  <c r="O28" i="2"/>
  <c r="F31" i="1" l="1"/>
  <c r="J15" i="1"/>
  <c r="K15" i="1" s="1"/>
  <c r="J12" i="1"/>
  <c r="J11" i="1"/>
  <c r="K11" i="1" s="1"/>
  <c r="J10" i="1"/>
  <c r="J9" i="1"/>
  <c r="J8" i="1"/>
  <c r="J7" i="1"/>
  <c r="G6" i="1"/>
  <c r="J6" i="1" s="1"/>
  <c r="G5" i="1"/>
  <c r="J5" i="1" s="1"/>
  <c r="K4" i="1"/>
  <c r="J14" i="1"/>
  <c r="K13" i="1"/>
  <c r="J13" i="1"/>
  <c r="J16" i="1"/>
  <c r="K16" i="1" s="1"/>
  <c r="J3" i="1" l="1"/>
  <c r="K3" i="1" s="1"/>
  <c r="O7" i="2" l="1"/>
  <c r="P7" i="2" l="1"/>
  <c r="O10" i="2"/>
  <c r="O6" i="2"/>
  <c r="P10" i="2" l="1"/>
  <c r="P6" i="2"/>
  <c r="K22" i="2" l="1"/>
  <c r="K50" i="2" s="1"/>
  <c r="N22" i="2"/>
  <c r="N50" i="2" s="1"/>
  <c r="M15" i="2" l="1"/>
  <c r="M16" i="2"/>
  <c r="O13" i="2" l="1"/>
  <c r="O25" i="2"/>
  <c r="O26" i="2"/>
  <c r="O27" i="2"/>
  <c r="O18" i="2"/>
  <c r="O19" i="2"/>
  <c r="M43" i="2"/>
  <c r="M20" i="2"/>
  <c r="O20" i="2" l="1"/>
  <c r="O24" i="2"/>
  <c r="O11" i="2"/>
  <c r="H54" i="2" s="1"/>
  <c r="M22" i="2"/>
  <c r="M50" i="2" s="1"/>
  <c r="O21" i="2"/>
  <c r="P11" i="2" l="1"/>
  <c r="O22" i="2"/>
  <c r="O15" i="2"/>
  <c r="O16" i="2"/>
  <c r="O43" i="2"/>
  <c r="H38" i="1"/>
  <c r="G38" i="1"/>
  <c r="H42" i="1"/>
  <c r="J42" i="1" s="1"/>
  <c r="H41" i="1"/>
  <c r="G41" i="1"/>
  <c r="J40" i="1"/>
  <c r="J39" i="1"/>
  <c r="H24" i="1"/>
  <c r="G24" i="1"/>
  <c r="H29" i="1"/>
  <c r="G29" i="1"/>
  <c r="H28" i="1"/>
  <c r="G28" i="1"/>
  <c r="H25" i="1"/>
  <c r="H18" i="1"/>
  <c r="G18" i="1"/>
  <c r="H21" i="1"/>
  <c r="G21" i="1"/>
  <c r="H19" i="1"/>
  <c r="H56" i="2" l="1"/>
  <c r="H31" i="1"/>
  <c r="G31" i="1"/>
  <c r="J41" i="1"/>
  <c r="J38" i="1"/>
  <c r="K5" i="1" l="1"/>
  <c r="J24" i="1"/>
  <c r="J23" i="1"/>
  <c r="J26" i="1"/>
  <c r="J27" i="1"/>
  <c r="K10" i="1"/>
  <c r="J30" i="1"/>
  <c r="I25" i="1"/>
  <c r="I31" i="1" s="1"/>
  <c r="L4" i="1"/>
  <c r="K8" i="1"/>
  <c r="K7" i="1"/>
  <c r="L6" i="1"/>
  <c r="J22" i="1"/>
  <c r="J20" i="1"/>
  <c r="J19" i="1"/>
  <c r="J17" i="1"/>
  <c r="K9" i="1"/>
  <c r="K12" i="1"/>
  <c r="J4" i="1" l="1"/>
  <c r="L31" i="1"/>
  <c r="J25" i="1"/>
  <c r="K6" i="1"/>
  <c r="K31" i="1" s="1"/>
  <c r="J29" i="1"/>
  <c r="J18" i="1"/>
  <c r="J28" i="1"/>
  <c r="J21" i="1"/>
  <c r="J31" i="1" l="1"/>
</calcChain>
</file>

<file path=xl/sharedStrings.xml><?xml version="1.0" encoding="utf-8"?>
<sst xmlns="http://schemas.openxmlformats.org/spreadsheetml/2006/main" count="859" uniqueCount="365">
  <si>
    <t>SOFTWARE</t>
  </si>
  <si>
    <t>Pedido Omie</t>
  </si>
  <si>
    <t>Recorrencia</t>
  </si>
  <si>
    <t>Perpetua</t>
  </si>
  <si>
    <t>Hardware</t>
  </si>
  <si>
    <t>Serviços</t>
  </si>
  <si>
    <t>TOTAL 
PREVISTO</t>
  </si>
  <si>
    <t>FATURADO OUTUBRO</t>
  </si>
  <si>
    <t>A FATURAR NOVEMBRO</t>
  </si>
  <si>
    <t>Proposta</t>
  </si>
  <si>
    <t>Contato</t>
  </si>
  <si>
    <t>Pagamento</t>
  </si>
  <si>
    <t xml:space="preserve">Cometais  </t>
  </si>
  <si>
    <t>xxx</t>
  </si>
  <si>
    <t>100% p/ 03 dias</t>
  </si>
  <si>
    <t>Componel</t>
  </si>
  <si>
    <t>7d</t>
  </si>
  <si>
    <t>Britania</t>
  </si>
  <si>
    <t>30d</t>
  </si>
  <si>
    <t>3395- manutenção e qualidade</t>
  </si>
  <si>
    <t xml:space="preserve">Recorrencia mensal </t>
  </si>
  <si>
    <t>Fabinject</t>
  </si>
  <si>
    <t>50% 3d; 50% 15d</t>
  </si>
  <si>
    <t>GE</t>
  </si>
  <si>
    <t>xx</t>
  </si>
  <si>
    <t>3394 - Customização</t>
  </si>
  <si>
    <t>Guaraná Cruzeirense</t>
  </si>
  <si>
    <t>50% aceite p/ 03 dias; 50% na entrega</t>
  </si>
  <si>
    <t>Lar Plasticos</t>
  </si>
  <si>
    <t xml:space="preserve">Mercoplasa </t>
  </si>
  <si>
    <t>Software 50% 7d / 50% 15d ; Hardware 7d; recorrencia 30d</t>
  </si>
  <si>
    <t>50% aceite; 50% entrega</t>
  </si>
  <si>
    <t>Midea</t>
  </si>
  <si>
    <t>100% 7d</t>
  </si>
  <si>
    <t>Multilaser</t>
  </si>
  <si>
    <t>Nal</t>
  </si>
  <si>
    <t>PAM</t>
  </si>
  <si>
    <t>339 0- Treinamento Injet</t>
  </si>
  <si>
    <t>Philco</t>
  </si>
  <si>
    <t>Plastamp- SP (Nova Planta)</t>
  </si>
  <si>
    <t>Plastamp- SP (Planta Atual)</t>
  </si>
  <si>
    <t xml:space="preserve">Tutiplast Paraiba    </t>
  </si>
  <si>
    <t>Qualitermo ( Reativação)</t>
  </si>
  <si>
    <t>3387 - Treinamento</t>
  </si>
  <si>
    <t>Solutec</t>
  </si>
  <si>
    <t>Motivo: Preço</t>
  </si>
  <si>
    <t>Descrição</t>
  </si>
  <si>
    <t>Negociação</t>
  </si>
  <si>
    <t>Aprovado</t>
  </si>
  <si>
    <t>3318 - coletor Inova venda 5 und</t>
  </si>
  <si>
    <t>3368B - Injet 02 pontos</t>
  </si>
  <si>
    <t>3354B - Injet piloto 1 ponto</t>
  </si>
  <si>
    <t>3368 - Injet 03 pontos</t>
  </si>
  <si>
    <t>Injet 13 pontos</t>
  </si>
  <si>
    <t>3389 - Injet 13 pontos</t>
  </si>
  <si>
    <t>Plastamp- PE  0</t>
  </si>
  <si>
    <t>3381 - Injet 09 pontos</t>
  </si>
  <si>
    <t>3265 - Injet 28 pontos</t>
  </si>
  <si>
    <t>3265 - Injet 12 pontos</t>
  </si>
  <si>
    <t xml:space="preserve">3396 - Coletor 02 </t>
  </si>
  <si>
    <t>3379 - Injet 02 pontos</t>
  </si>
  <si>
    <t>Aprovado = enviado pra faturamento</t>
  </si>
  <si>
    <t>Negociação = negociação com cliente</t>
  </si>
  <si>
    <t>Perdido =  não aprovado</t>
  </si>
  <si>
    <t>FAZER MINUTA DE CONTRATO</t>
  </si>
  <si>
    <t>EMPRESA</t>
  </si>
  <si>
    <t>TIPO</t>
  </si>
  <si>
    <t>Cometais</t>
  </si>
  <si>
    <t>Mercoplasa</t>
  </si>
  <si>
    <t>Base</t>
  </si>
  <si>
    <t>TOTAL 
APROVADO</t>
  </si>
  <si>
    <t>DESCRIÇÃO</t>
  </si>
  <si>
    <t>Inline 11  pontos - contrato manutenção</t>
  </si>
  <si>
    <t>Inline 10 pontos - contrato manutenção</t>
  </si>
  <si>
    <t>Injet  1 ponto  - contrato de manutenção</t>
  </si>
  <si>
    <t>Recorência / Manutenção</t>
  </si>
  <si>
    <t>Injet  3 pontos  - contrato de manutenção</t>
  </si>
  <si>
    <t xml:space="preserve">Presmak  </t>
  </si>
  <si>
    <t>3390 - Coletor Injet 2 und</t>
  </si>
  <si>
    <t xml:space="preserve">Doal </t>
  </si>
  <si>
    <t>OBS</t>
  </si>
  <si>
    <t>Fase</t>
  </si>
  <si>
    <t>Inicio</t>
  </si>
  <si>
    <t>Reprovado</t>
  </si>
  <si>
    <t>Reprovado por preço</t>
  </si>
  <si>
    <t>Compras</t>
  </si>
  <si>
    <t>3389_Injet 03 pontos</t>
  </si>
  <si>
    <t>3369- Injet 13 pontos</t>
  </si>
  <si>
    <t xml:space="preserve">Plastamp- PE  </t>
  </si>
  <si>
    <t xml:space="preserve">Tutiplast Manaus </t>
  </si>
  <si>
    <t>Martiplast</t>
  </si>
  <si>
    <t>Viqua</t>
  </si>
  <si>
    <t>ABG</t>
  </si>
  <si>
    <t>Termotécnica  Joinville</t>
  </si>
  <si>
    <t>Whirlpool Joinville</t>
  </si>
  <si>
    <t xml:space="preserve">3400 - Customização </t>
  </si>
  <si>
    <t xml:space="preserve">3401 - Customização </t>
  </si>
  <si>
    <t xml:space="preserve">3402 - Customização </t>
  </si>
  <si>
    <t xml:space="preserve">3403 - Customização </t>
  </si>
  <si>
    <t xml:space="preserve">3404 - Customização </t>
  </si>
  <si>
    <t xml:space="preserve">3405 - Customização </t>
  </si>
  <si>
    <t xml:space="preserve">3394A - Customização </t>
  </si>
  <si>
    <t>Whirlpool Manaus</t>
  </si>
  <si>
    <t>3406 - Injet 28 pontos</t>
  </si>
  <si>
    <t>3406 - Injet 10 pontos</t>
  </si>
  <si>
    <t>BMW</t>
  </si>
  <si>
    <t>Vivensis</t>
  </si>
  <si>
    <t xml:space="preserve">Viqua </t>
  </si>
  <si>
    <t>Tenneco</t>
  </si>
  <si>
    <t>Plastamp - PE</t>
  </si>
  <si>
    <t>SMD</t>
  </si>
  <si>
    <t xml:space="preserve">Injet </t>
  </si>
  <si>
    <t>3408 - Limpeza de Base</t>
  </si>
  <si>
    <t>3407 - Injet 04 pontos</t>
  </si>
  <si>
    <t>3409 - Injet 02 pontos</t>
  </si>
  <si>
    <t>100% p/ 15 dias</t>
  </si>
  <si>
    <t xml:space="preserve">Mondial Bahia </t>
  </si>
  <si>
    <t>0044 - Componentes</t>
  </si>
  <si>
    <t>Bemplas</t>
  </si>
  <si>
    <t>0048 - Componentes</t>
  </si>
  <si>
    <t>IPA</t>
  </si>
  <si>
    <t>Presmak</t>
  </si>
  <si>
    <t>Plastamp- PE</t>
  </si>
  <si>
    <t>Magistral</t>
  </si>
  <si>
    <t>Arthi</t>
  </si>
  <si>
    <t>3385 - Material Coletor</t>
  </si>
  <si>
    <t xml:space="preserve">3388 - Deslocamento </t>
  </si>
  <si>
    <t>0045 - Material Coletor</t>
  </si>
  <si>
    <t>0042A - Material Coletor</t>
  </si>
  <si>
    <t>2849A - Injet 09 pontos</t>
  </si>
  <si>
    <t>3228 - Injet  01 ponto</t>
  </si>
  <si>
    <t>3278B- Injet 01 ponto</t>
  </si>
  <si>
    <t>0044 - Material Coletor</t>
  </si>
  <si>
    <t>0049 - Material Coletor</t>
  </si>
  <si>
    <t>Ensinger do Brasil</t>
  </si>
  <si>
    <t>Cristal Pet</t>
  </si>
  <si>
    <t>3206A - Injet 15 pontos</t>
  </si>
  <si>
    <t>Neo Rodas</t>
  </si>
  <si>
    <t>Component</t>
  </si>
  <si>
    <t xml:space="preserve">3399 - Renovação Mensal </t>
  </si>
  <si>
    <t>0047B - Componentes</t>
  </si>
  <si>
    <t xml:space="preserve">Takashi Shintani </t>
  </si>
  <si>
    <t>Ipackchem</t>
  </si>
  <si>
    <t>Plastamp- SP</t>
  </si>
  <si>
    <t>Requiph</t>
  </si>
  <si>
    <t>Doal</t>
  </si>
  <si>
    <t>Tutiplast</t>
  </si>
  <si>
    <t xml:space="preserve">3360A - Customização </t>
  </si>
  <si>
    <t>3329A - Coletor Inova venda 5 und</t>
  </si>
  <si>
    <t>3358 - Serviço Avusso</t>
  </si>
  <si>
    <t>3342C - Coletor Injet 3 und</t>
  </si>
  <si>
    <t>3342C - Coletor Injet 4 und</t>
  </si>
  <si>
    <t>FATURADO SETEMBRO</t>
  </si>
  <si>
    <t>A FATURAR OUTUBRO</t>
  </si>
  <si>
    <t>3374A - Coletor Injet 3 und</t>
  </si>
  <si>
    <t>0041 - Material Coletor</t>
  </si>
  <si>
    <t>3344A - Material Coletor</t>
  </si>
  <si>
    <t>FATURADO AGOSTO</t>
  </si>
  <si>
    <t>A FATURAR SETEMBRO</t>
  </si>
  <si>
    <t xml:space="preserve">3360A </t>
  </si>
  <si>
    <t>3329A</t>
  </si>
  <si>
    <t>0041_22</t>
  </si>
  <si>
    <t>3374A _22</t>
  </si>
  <si>
    <t>3342C_22</t>
  </si>
  <si>
    <t>3344A_22</t>
  </si>
  <si>
    <t>0049 -</t>
  </si>
  <si>
    <t>0044 -</t>
  </si>
  <si>
    <t xml:space="preserve">2849A - </t>
  </si>
  <si>
    <t xml:space="preserve">3385 - </t>
  </si>
  <si>
    <t xml:space="preserve">3312 - </t>
  </si>
  <si>
    <t xml:space="preserve">3388 - </t>
  </si>
  <si>
    <t xml:space="preserve">0045 - </t>
  </si>
  <si>
    <t xml:space="preserve">0042A - </t>
  </si>
  <si>
    <t xml:space="preserve">3395- </t>
  </si>
  <si>
    <t xml:space="preserve">3318 - </t>
  </si>
  <si>
    <t xml:space="preserve">3394 - </t>
  </si>
  <si>
    <t xml:space="preserve">3368B - </t>
  </si>
  <si>
    <t xml:space="preserve">3354B - </t>
  </si>
  <si>
    <t xml:space="preserve">3387 - </t>
  </si>
  <si>
    <t xml:space="preserve">3379 - </t>
  </si>
  <si>
    <t xml:space="preserve">3389 - </t>
  </si>
  <si>
    <t xml:space="preserve">3396 - </t>
  </si>
  <si>
    <t xml:space="preserve">3381 - </t>
  </si>
  <si>
    <t xml:space="preserve">3265 - </t>
  </si>
  <si>
    <t xml:space="preserve">3390- </t>
  </si>
  <si>
    <t>3228B- Recorrencia 10 pontos</t>
  </si>
  <si>
    <t>3228B-</t>
  </si>
  <si>
    <t>3390 -</t>
  </si>
  <si>
    <t>3368 -</t>
  </si>
  <si>
    <t>3228 -</t>
  </si>
  <si>
    <t>3278B -</t>
  </si>
  <si>
    <t>322PB -Recorrencia 09 pontos</t>
  </si>
  <si>
    <t>3229B -</t>
  </si>
  <si>
    <t>Sulbras</t>
  </si>
  <si>
    <t>PXP</t>
  </si>
  <si>
    <t>3412 - Componentes</t>
  </si>
  <si>
    <t xml:space="preserve">André Machado </t>
  </si>
  <si>
    <t xml:space="preserve">Estela </t>
  </si>
  <si>
    <t>Fausto</t>
  </si>
  <si>
    <t>Anderson</t>
  </si>
  <si>
    <t>Osmar</t>
  </si>
  <si>
    <t>Adelmo</t>
  </si>
  <si>
    <t>Dalvan</t>
  </si>
  <si>
    <t xml:space="preserve">Ivone </t>
  </si>
  <si>
    <t>Cliente não retornar minhas ligações e nem responder zap</t>
  </si>
  <si>
    <t>Barrela</t>
  </si>
  <si>
    <t>Marcelo Kaminski</t>
  </si>
  <si>
    <t xml:space="preserve">Fabio </t>
  </si>
  <si>
    <t xml:space="preserve">Informa que Pedro esta envolvido com um atividade, o mesmo esta verificando a data </t>
  </si>
  <si>
    <t>Paulo Garutti</t>
  </si>
  <si>
    <t xml:space="preserve">Vinicius </t>
  </si>
  <si>
    <t xml:space="preserve">Mariana Barrela </t>
  </si>
  <si>
    <t>Winsber</t>
  </si>
  <si>
    <t>OMIE</t>
  </si>
  <si>
    <t>2021/00015</t>
  </si>
  <si>
    <t>2020/00046</t>
  </si>
  <si>
    <t>1613 e 232</t>
  </si>
  <si>
    <t>231 e 1611</t>
  </si>
  <si>
    <t>Robert</t>
  </si>
  <si>
    <t>Ildo</t>
  </si>
  <si>
    <t xml:space="preserve">Marluce </t>
  </si>
  <si>
    <t xml:space="preserve">Leonardo </t>
  </si>
  <si>
    <t>Ivan Borges</t>
  </si>
  <si>
    <t xml:space="preserve">Matheus </t>
  </si>
  <si>
    <t>André  Goes</t>
  </si>
  <si>
    <t>Natalia Coelho</t>
  </si>
  <si>
    <t xml:space="preserve">Josafá </t>
  </si>
  <si>
    <t>José Damião</t>
  </si>
  <si>
    <t>Paim</t>
  </si>
  <si>
    <t>Faturado e enviando ao cliente</t>
  </si>
  <si>
    <t>100% p/ 14 dias</t>
  </si>
  <si>
    <t>Reprovado por preço, verba ficou para 2023</t>
  </si>
  <si>
    <t xml:space="preserve">Henrique </t>
  </si>
  <si>
    <t xml:space="preserve">Proposta não foi enviada por ordem da diretoria Map </t>
  </si>
  <si>
    <t>Michel Liska</t>
  </si>
  <si>
    <t>Vinicius Amaral</t>
  </si>
  <si>
    <t>07/11- Nesse momento iremos aguardar pra avançar esse assunto, devido ao cenário de incerteza. Assim que tivermos uma melhora no quadro, entro em contato.</t>
  </si>
  <si>
    <t>09/11- Ontem a tarde tivemos o retorno por parte da diretoria, referente ao projeto de implementação de OEE. Infelizmente não tivemos a aprovação deste projeto para 2023. Não foi nem por questão de valores em si, mas a viabilidade do projeto, eles optaram por dar foco em outros projetos que já estavam no fluxo. Agradeço pela sua disponibilidade e atenção, tentaremos novamente retomar a conversa com a diretoria no início do ano que vem e ai caso tenhamos um aceno positivo, volto a entrar em contato. Muito obrigado</t>
  </si>
  <si>
    <t>Suspensa</t>
  </si>
  <si>
    <t>05/11- Estamos finalizando uma auditoria e não conseguimos falar sobre novos projetos. Não consegui evoluir internamente pq estamos com muitos projetos e auditoria</t>
  </si>
  <si>
    <t>238 e 1617</t>
  </si>
  <si>
    <t>Michelin</t>
  </si>
  <si>
    <t>dclplasticos</t>
  </si>
  <si>
    <t>Eduardo Nogueira</t>
  </si>
  <si>
    <t>Carol</t>
  </si>
  <si>
    <t>3413 - Injet 55 pontos</t>
  </si>
  <si>
    <t xml:space="preserve">Carlos Sergio </t>
  </si>
  <si>
    <t>Wanderlan</t>
  </si>
  <si>
    <t>Oswaldo</t>
  </si>
  <si>
    <t>3247B - Injet 10 pontos</t>
  </si>
  <si>
    <t>Pedido fechado pela Joyce em Outubro</t>
  </si>
  <si>
    <t>3382 - Coletor Inova 3 und</t>
  </si>
  <si>
    <t>FATURADO NOVEMBRO</t>
  </si>
  <si>
    <t>Cliente</t>
  </si>
  <si>
    <t>Descrição/Proposta</t>
  </si>
  <si>
    <t>Reprovado preço</t>
  </si>
  <si>
    <t xml:space="preserve">Fernando socio/ Fabio </t>
  </si>
  <si>
    <t>3318 - Coletor 5 und</t>
  </si>
  <si>
    <t>3411 - Coletor 06 und</t>
  </si>
  <si>
    <t>3395- Manuten/Qualidade</t>
  </si>
  <si>
    <t xml:space="preserve">Fernando </t>
  </si>
  <si>
    <t>Plastamp-  (Planta Atual)</t>
  </si>
  <si>
    <t>Plastamp- (Planta Nova)</t>
  </si>
  <si>
    <t>MÊS 11</t>
  </si>
  <si>
    <t>MÊS 12</t>
  </si>
  <si>
    <t>Coletor QTDA</t>
  </si>
  <si>
    <t>Data de envio da Proposta</t>
  </si>
  <si>
    <t>Revisão + Rescente</t>
  </si>
  <si>
    <t>Data do P.C</t>
  </si>
  <si>
    <t>3396 - Injet 02 pontos</t>
  </si>
  <si>
    <t xml:space="preserve">3385 - Treinamento </t>
  </si>
  <si>
    <t>Revisão + Recente</t>
  </si>
  <si>
    <t>Data_ envio Proposta</t>
  </si>
  <si>
    <t>3381C - Injet 05 pontos</t>
  </si>
  <si>
    <t>3410 - Assistencia técnica</t>
  </si>
  <si>
    <t>ENTREGA</t>
  </si>
  <si>
    <t>3411 - Suporte avulso</t>
  </si>
  <si>
    <t>Inicial - 16/09/22
Rev.A - 10/10/22 
Rev.B - 09/11/22
Rev. C - 10/11/22</t>
  </si>
  <si>
    <t>Inicio = é um prospec sem prosta ainda</t>
  </si>
  <si>
    <t>Compras = aprovado, mas precisa de pedido ou contrato</t>
  </si>
  <si>
    <t>Realizada</t>
  </si>
  <si>
    <t>Pendente</t>
  </si>
  <si>
    <t>2022/00018 e 1624</t>
  </si>
  <si>
    <t>17/11- Vou verificar com o compras, proposta encaminhada para aceite</t>
  </si>
  <si>
    <t>Mercorplasa- Injet  1 ponto  - Contrato de manutenção</t>
  </si>
  <si>
    <t>Component - Injet  38 pontos  - Contrato de manutenção</t>
  </si>
  <si>
    <t xml:space="preserve">Plastamp PE -Injet  5 pontos  - Expansão do Injet </t>
  </si>
  <si>
    <t>Mideia- Injet  3 pontos  - Contrato de manutenção</t>
  </si>
  <si>
    <t>Philco- Inline 11  pontos - Contrato manutenção</t>
  </si>
  <si>
    <t>Britania - Inline 10 pontos - Contrato manutenção</t>
  </si>
  <si>
    <t>Cometais - Injet  1 ponto  - Contrato de manutenção</t>
  </si>
  <si>
    <t>Doal - Injet  48 pontos  - Contrato de manutenção</t>
  </si>
  <si>
    <t>Pedro</t>
  </si>
  <si>
    <t>Inicial - 21/10/22
Rev.A - 25/10/2022</t>
  </si>
  <si>
    <t>Inicial - 26/10/22
Rev.A - 11/11/2022</t>
  </si>
  <si>
    <t>Inicial - 01/06/22
Rev.A - 31/10/22</t>
  </si>
  <si>
    <t>Inicial - 16/08/21
Rev.A - 14/09/21
Nova Numeração - 14/03/22
Rev.A - 06/04/22
Nova Numeração - 09/11/22</t>
  </si>
  <si>
    <t>Inicial - 09/09/22
Rev.A - 28/09/22
Rev.B - 30/09/22</t>
  </si>
  <si>
    <t>11/11- Paim, vai primeiro finalizar a infra para fazer aquisição do software</t>
  </si>
  <si>
    <t>14/11- Obrigado, estaremos analisando e entendendo o orçamento. Ligar dia 21/11</t>
  </si>
  <si>
    <t>17/11- Subi o tema, assim q tiver retorno aviso. Ligar em 21/11</t>
  </si>
  <si>
    <t>16/11- Proposta em avalição com área técnica. Ligar em 21/11</t>
  </si>
  <si>
    <t>09/11- Eles dispensaram todos os esforços para está auditoria. Então este projeto está momentaneamente parado.</t>
  </si>
  <si>
    <t>17/11- ( Mesmo status) Ainda não. São três customizações. Pacotão. Vamos tentar que faça alguma, pq já estão falando em desenvolver lá fora na sede deles e não queremos isso né?</t>
  </si>
  <si>
    <t>17/11- Assunto sendo tratado com as aérea, sem posição até momento</t>
  </si>
  <si>
    <t>11/11- Agora é aguardar a análise deles para poder seguir com o processo. Ligar 21/11</t>
  </si>
  <si>
    <t xml:space="preserve">11/11- Fone realizada para levantamento técnico, para inclusão de novo escopo desta proposta. </t>
  </si>
  <si>
    <t xml:space="preserve">18/11- Aguardando aprovação do cliente para emissão do pedido </t>
  </si>
  <si>
    <t>18/11- Estou cobrando todos os dias da turma aqui, mas nao temos nenhuma saida ainda, o meu problema agora, pelo que entendi é a data pra fazer isto.</t>
  </si>
  <si>
    <t xml:space="preserve">17/11- Em analise. Ligar toda semana </t>
  </si>
  <si>
    <t xml:space="preserve">17/11- Em analise até o momento. Ligar toda semana </t>
  </si>
  <si>
    <t xml:space="preserve">11/11- Fone realizada na data de hoje, cliente está organizando algumas informações técnicas para seguir com projeto  </t>
  </si>
  <si>
    <t>11/11- Aguardando retorno do Alessandro sobre e-mail da Geovana dos módulos que será ofertado nesse cliente</t>
  </si>
  <si>
    <t xml:space="preserve">09/09- Cliente esta verificando a data para apresentação do sistema para semana que vem, estou envolvido em projeto da empresa e esta semana </t>
  </si>
  <si>
    <t xml:space="preserve">03/11- Aguardando o parecer do da Fabiola sobre o NDA </t>
  </si>
  <si>
    <t>14/11- Cliente esta organizando agenda para apresentação do Injet</t>
  </si>
  <si>
    <t xml:space="preserve">14/11- Sem posição do cliente quanto a data para apresentação </t>
  </si>
  <si>
    <t>18/11- Cliente não retornar minhas ligações e nem responder zap</t>
  </si>
  <si>
    <t>210/1631</t>
  </si>
  <si>
    <t>214/1633</t>
  </si>
  <si>
    <t>209/1624</t>
  </si>
  <si>
    <t>Climazon</t>
  </si>
  <si>
    <t>1634/1635</t>
  </si>
  <si>
    <t>50% p/ 03 dias; 50%  entrega</t>
  </si>
  <si>
    <t>17/11- Data de entrada da NF expirou, cliente esta verificando com a gerencia se vamos conseguir emitir essa nota até dia 21/11</t>
  </si>
  <si>
    <t>Aguardando definição do modelo de minuta. Clientes sem minuta assinada</t>
  </si>
  <si>
    <t>NF_ Emitidas</t>
  </si>
  <si>
    <t>N/H</t>
  </si>
  <si>
    <t>Inicial - 02/10/22
Rev.A - 27/10/22 
Rev.B - 01/11/22</t>
  </si>
  <si>
    <t>Inicial - 05/10/22
Rev.A - 17/10/22</t>
  </si>
  <si>
    <t>3387A - Treinamento</t>
  </si>
  <si>
    <t xml:space="preserve">17/11- Por enquanto projeto  esta parado, semana que vem teremos uma reunião </t>
  </si>
  <si>
    <t>Inicial - 02/02/2020
Rev.A - 13/02/2022
Nova Numeração - 04/01/2021
Rev.A - 11/05/2021
Rev.B - 14/05/2021
Rev.C - 12/08/2021
Nova Numeração - 18/02/2022
Rev.A - 14/02/2022
Rev.B - 07/11/2022</t>
  </si>
  <si>
    <t>NORPLAST</t>
  </si>
  <si>
    <t xml:space="preserve">PRESMAK </t>
  </si>
  <si>
    <t xml:space="preserve">MUSASHI </t>
  </si>
  <si>
    <t xml:space="preserve">ITW </t>
  </si>
  <si>
    <t>METALURGICA SUL</t>
  </si>
  <si>
    <t>METALURGICA PE</t>
  </si>
  <si>
    <t>METALURGICA RJ</t>
  </si>
  <si>
    <t xml:space="preserve">3419 - Renovação Mensal </t>
  </si>
  <si>
    <t xml:space="preserve">3420 - Renovação Mensal </t>
  </si>
  <si>
    <t xml:space="preserve">3421 - Renovação Mensal </t>
  </si>
  <si>
    <t xml:space="preserve">3418 - Renovação Mensal </t>
  </si>
  <si>
    <t xml:space="preserve">3426 - Renovação Mensal </t>
  </si>
  <si>
    <t>3425 - Coletor 02 und</t>
  </si>
  <si>
    <t xml:space="preserve">3424 - Renovação Mensal </t>
  </si>
  <si>
    <t>TERMOTECNICA</t>
  </si>
  <si>
    <t xml:space="preserve">Mondial Manaus </t>
  </si>
  <si>
    <t>3427 - Coletor 01 und</t>
  </si>
  <si>
    <t xml:space="preserve">Giuliano </t>
  </si>
  <si>
    <t>Sidney</t>
  </si>
  <si>
    <t>Adilson</t>
  </si>
  <si>
    <t>Luis</t>
  </si>
  <si>
    <t>Erasmo</t>
  </si>
  <si>
    <t>Leticia</t>
  </si>
  <si>
    <t>Joab</t>
  </si>
  <si>
    <t>Rhuana</t>
  </si>
  <si>
    <t>18/11 - Em análise</t>
  </si>
  <si>
    <t>16/11 - Em análise</t>
  </si>
  <si>
    <t>17/11 - Em análise</t>
  </si>
  <si>
    <t>14/11 - Em análise</t>
  </si>
  <si>
    <t xml:space="preserve">3423-  Renovação Mensal </t>
  </si>
  <si>
    <t xml:space="preserve">3422-  Renovação Mensal </t>
  </si>
  <si>
    <t xml:space="preserve">3416-  Renovação Mensal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</si>
</sst>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_(&quot;$&quot;* #,##0.00_);_(&quot;$&quot;* \(#,##0.00\);_(&quot;$&quot;* &quot;-&quot;??_);_(@_)"/>
    <numFmt numFmtId="165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2"/>
      <name val="Calibri"/>
      <family val="2"/>
      <scheme val="minor"/>
    </font>
    <font>
      <b/>
      <sz val="11"/>
      <color theme="4" tint="-0.249977111117893"/>
      <name val="Arial"/>
      <family val="2"/>
    </font>
    <font>
      <sz val="11"/>
      <color rgb="FFFF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theme="4" tint="-0.249977111117893"/>
      <name val="Arial"/>
      <family val="2"/>
    </font>
    <font>
      <b/>
      <sz val="10"/>
      <color rgb="FFFF0000"/>
      <name val="Arial"/>
      <family val="2"/>
    </font>
    <font>
      <sz val="10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/>
  </cellStyleXfs>
  <cellXfs count="156">
    <xf numFmtId="0" fontId="0" fillId="0" borderId="0" xfId="0"/>
    <xf numFmtId="0" fontId="2" fillId="0" borderId="0" xfId="0" applyFont="1"/>
    <xf numFmtId="0" fontId="3" fillId="0" borderId="3" xfId="0" applyFont="1" applyBorder="1"/>
    <xf numFmtId="0" fontId="3" fillId="2" borderId="3" xfId="0" applyFont="1" applyFill="1" applyBorder="1" applyAlignment="1">
      <alignment horizontal="center"/>
    </xf>
    <xf numFmtId="0" fontId="3" fillId="0" borderId="0" xfId="0" applyFont="1"/>
    <xf numFmtId="165" fontId="2" fillId="4" borderId="7" xfId="1" applyNumberFormat="1" applyFont="1" applyFill="1" applyBorder="1" applyAlignment="1">
      <alignment horizontal="center" wrapText="1"/>
    </xf>
    <xf numFmtId="0" fontId="2" fillId="4" borderId="3" xfId="0" applyFont="1" applyFill="1" applyBorder="1"/>
    <xf numFmtId="0" fontId="2" fillId="4" borderId="0" xfId="0" applyFont="1" applyFill="1"/>
    <xf numFmtId="0" fontId="4" fillId="4" borderId="3" xfId="0" applyFont="1" applyFill="1" applyBorder="1"/>
    <xf numFmtId="0" fontId="2" fillId="4" borderId="3" xfId="0" applyFont="1" applyFill="1" applyBorder="1" applyAlignment="1">
      <alignment horizontal="left"/>
    </xf>
    <xf numFmtId="165" fontId="2" fillId="4" borderId="12" xfId="1" applyNumberFormat="1" applyFont="1" applyFill="1" applyBorder="1" applyAlignment="1">
      <alignment horizontal="center" wrapText="1"/>
    </xf>
    <xf numFmtId="165" fontId="2" fillId="4" borderId="12" xfId="0" applyNumberFormat="1" applyFont="1" applyFill="1" applyBorder="1" applyAlignment="1">
      <alignment horizontal="center"/>
    </xf>
    <xf numFmtId="164" fontId="2" fillId="4" borderId="3" xfId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vertical="center" wrapText="1"/>
    </xf>
    <xf numFmtId="0" fontId="2" fillId="0" borderId="3" xfId="0" applyFont="1" applyBorder="1"/>
    <xf numFmtId="1" fontId="7" fillId="4" borderId="3" xfId="2" applyNumberFormat="1" applyFont="1" applyFill="1" applyBorder="1" applyAlignment="1">
      <alignment horizontal="center" vertical="center"/>
    </xf>
    <xf numFmtId="165" fontId="2" fillId="4" borderId="15" xfId="0" applyNumberFormat="1" applyFont="1" applyFill="1" applyBorder="1" applyAlignment="1">
      <alignment horizontal="center"/>
    </xf>
    <xf numFmtId="165" fontId="2" fillId="4" borderId="15" xfId="1" applyNumberFormat="1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left"/>
    </xf>
    <xf numFmtId="165" fontId="2" fillId="4" borderId="3" xfId="0" applyNumberFormat="1" applyFont="1" applyFill="1" applyBorder="1"/>
    <xf numFmtId="165" fontId="2" fillId="4" borderId="3" xfId="1" applyNumberFormat="1" applyFont="1" applyFill="1" applyBorder="1" applyAlignment="1">
      <alignment horizontal="center" wrapText="1"/>
    </xf>
    <xf numFmtId="165" fontId="2" fillId="4" borderId="8" xfId="1" applyNumberFormat="1" applyFont="1" applyFill="1" applyBorder="1" applyAlignment="1">
      <alignment horizontal="center" wrapText="1"/>
    </xf>
    <xf numFmtId="165" fontId="2" fillId="4" borderId="11" xfId="1" applyNumberFormat="1" applyFont="1" applyFill="1" applyBorder="1" applyAlignment="1">
      <alignment horizontal="center" wrapText="1"/>
    </xf>
    <xf numFmtId="165" fontId="2" fillId="4" borderId="5" xfId="1" applyNumberFormat="1" applyFont="1" applyFill="1" applyBorder="1" applyAlignment="1">
      <alignment horizontal="center" wrapText="1"/>
    </xf>
    <xf numFmtId="165" fontId="2" fillId="0" borderId="3" xfId="0" applyNumberFormat="1" applyFont="1" applyBorder="1"/>
    <xf numFmtId="165" fontId="2" fillId="0" borderId="11" xfId="0" applyNumberFormat="1" applyFont="1" applyBorder="1"/>
    <xf numFmtId="165" fontId="2" fillId="4" borderId="16" xfId="1" applyNumberFormat="1" applyFont="1" applyFill="1" applyBorder="1" applyAlignment="1">
      <alignment horizontal="center" wrapText="1"/>
    </xf>
    <xf numFmtId="165" fontId="2" fillId="4" borderId="17" xfId="1" applyNumberFormat="1" applyFont="1" applyFill="1" applyBorder="1" applyAlignment="1">
      <alignment horizontal="center" wrapText="1"/>
    </xf>
    <xf numFmtId="165" fontId="2" fillId="4" borderId="3" xfId="0" applyNumberFormat="1" applyFont="1" applyFill="1" applyBorder="1" applyAlignment="1">
      <alignment horizontal="center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8" fillId="4" borderId="3" xfId="0" applyFont="1" applyFill="1" applyBorder="1"/>
    <xf numFmtId="0" fontId="3" fillId="2" borderId="2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2" fillId="0" borderId="7" xfId="0" applyFont="1" applyBorder="1"/>
    <xf numFmtId="0" fontId="2" fillId="0" borderId="25" xfId="0" applyFont="1" applyBorder="1"/>
    <xf numFmtId="0" fontId="2" fillId="0" borderId="6" xfId="0" applyFont="1" applyBorder="1"/>
    <xf numFmtId="0" fontId="3" fillId="2" borderId="19" xfId="0" applyFont="1" applyFill="1" applyBorder="1" applyAlignment="1">
      <alignment horizontal="center"/>
    </xf>
    <xf numFmtId="165" fontId="2" fillId="4" borderId="7" xfId="0" applyNumberFormat="1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wrapText="1"/>
    </xf>
    <xf numFmtId="165" fontId="3" fillId="4" borderId="13" xfId="1" applyNumberFormat="1" applyFont="1" applyFill="1" applyBorder="1" applyAlignment="1">
      <alignment horizontal="center" wrapText="1"/>
    </xf>
    <xf numFmtId="165" fontId="3" fillId="4" borderId="12" xfId="1" applyNumberFormat="1" applyFont="1" applyFill="1" applyBorder="1" applyAlignment="1">
      <alignment horizontal="center" wrapText="1"/>
    </xf>
    <xf numFmtId="165" fontId="3" fillId="4" borderId="15" xfId="1" applyNumberFormat="1" applyFont="1" applyFill="1" applyBorder="1" applyAlignment="1">
      <alignment horizontal="center" wrapText="1"/>
    </xf>
    <xf numFmtId="0" fontId="3" fillId="0" borderId="19" xfId="0" applyFont="1" applyBorder="1"/>
    <xf numFmtId="0" fontId="2" fillId="0" borderId="26" xfId="0" applyFont="1" applyBorder="1"/>
    <xf numFmtId="165" fontId="3" fillId="4" borderId="10" xfId="1" applyNumberFormat="1" applyFont="1" applyFill="1" applyBorder="1" applyAlignment="1">
      <alignment horizontal="center" wrapText="1"/>
    </xf>
    <xf numFmtId="0" fontId="3" fillId="4" borderId="19" xfId="0" applyFont="1" applyFill="1" applyBorder="1" applyAlignment="1">
      <alignment horizontal="center" wrapText="1"/>
    </xf>
    <xf numFmtId="0" fontId="3" fillId="2" borderId="27" xfId="0" applyFont="1" applyFill="1" applyBorder="1" applyAlignment="1">
      <alignment horizontal="center"/>
    </xf>
    <xf numFmtId="0" fontId="2" fillId="0" borderId="4" xfId="0" applyFont="1" applyBorder="1"/>
    <xf numFmtId="0" fontId="2" fillId="0" borderId="14" xfId="0" applyFont="1" applyBorder="1"/>
    <xf numFmtId="165" fontId="3" fillId="6" borderId="22" xfId="0" applyNumberFormat="1" applyFont="1" applyFill="1" applyBorder="1"/>
    <xf numFmtId="0" fontId="2" fillId="4" borderId="9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left"/>
    </xf>
    <xf numFmtId="0" fontId="9" fillId="4" borderId="3" xfId="0" applyFont="1" applyFill="1" applyBorder="1"/>
    <xf numFmtId="44" fontId="3" fillId="5" borderId="28" xfId="0" applyNumberFormat="1" applyFont="1" applyFill="1" applyBorder="1" applyAlignment="1">
      <alignment horizontal="center"/>
    </xf>
    <xf numFmtId="44" fontId="3" fillId="3" borderId="22" xfId="0" applyNumberFormat="1" applyFont="1" applyFill="1" applyBorder="1"/>
    <xf numFmtId="165" fontId="2" fillId="4" borderId="3" xfId="1" applyNumberFormat="1" applyFont="1" applyFill="1" applyBorder="1" applyAlignment="1">
      <alignment horizontal="center"/>
    </xf>
    <xf numFmtId="44" fontId="3" fillId="5" borderId="22" xfId="0" applyNumberFormat="1" applyFont="1" applyFill="1" applyBorder="1"/>
    <xf numFmtId="0" fontId="3" fillId="3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10" fillId="7" borderId="3" xfId="0" applyFont="1" applyFill="1" applyBorder="1" applyAlignment="1">
      <alignment horizontal="left" vertical="center" wrapText="1"/>
    </xf>
    <xf numFmtId="165" fontId="2" fillId="0" borderId="0" xfId="1" applyNumberFormat="1" applyFont="1"/>
    <xf numFmtId="44" fontId="3" fillId="5" borderId="29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3" borderId="3" xfId="1" applyNumberFormat="1" applyFont="1" applyFill="1" applyBorder="1" applyAlignment="1">
      <alignment horizontal="center" wrapText="1"/>
    </xf>
    <xf numFmtId="165" fontId="2" fillId="3" borderId="3" xfId="0" applyNumberFormat="1" applyFont="1" applyFill="1" applyBorder="1" applyAlignment="1">
      <alignment horizontal="center" wrapText="1"/>
    </xf>
    <xf numFmtId="165" fontId="2" fillId="3" borderId="3" xfId="0" applyNumberFormat="1" applyFont="1" applyFill="1" applyBorder="1"/>
    <xf numFmtId="165" fontId="3" fillId="4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165" fontId="2" fillId="4" borderId="3" xfId="1" applyNumberFormat="1" applyFont="1" applyFill="1" applyBorder="1"/>
    <xf numFmtId="0" fontId="9" fillId="4" borderId="3" xfId="0" applyFont="1" applyFill="1" applyBorder="1" applyAlignment="1">
      <alignment horizontal="left"/>
    </xf>
    <xf numFmtId="165" fontId="3" fillId="3" borderId="3" xfId="1" applyNumberFormat="1" applyFont="1" applyFill="1" applyBorder="1" applyAlignment="1">
      <alignment horizontal="center" wrapText="1"/>
    </xf>
    <xf numFmtId="165" fontId="10" fillId="4" borderId="3" xfId="0" applyNumberFormat="1" applyFont="1" applyFill="1" applyBorder="1"/>
    <xf numFmtId="165" fontId="10" fillId="4" borderId="30" xfId="0" applyNumberFormat="1" applyFont="1" applyFill="1" applyBorder="1"/>
    <xf numFmtId="0" fontId="0" fillId="0" borderId="3" xfId="0" applyBorder="1"/>
    <xf numFmtId="0" fontId="7" fillId="3" borderId="3" xfId="2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8" borderId="3" xfId="0" applyFont="1" applyFill="1" applyBorder="1" applyAlignment="1">
      <alignment horizontal="center" wrapText="1"/>
    </xf>
    <xf numFmtId="165" fontId="3" fillId="8" borderId="3" xfId="1" applyNumberFormat="1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14" fontId="13" fillId="4" borderId="3" xfId="0" applyNumberFormat="1" applyFont="1" applyFill="1" applyBorder="1" applyAlignment="1">
      <alignment horizontal="left" wrapText="1"/>
    </xf>
    <xf numFmtId="0" fontId="13" fillId="4" borderId="3" xfId="0" applyFont="1" applyFill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4" borderId="0" xfId="0" applyFont="1" applyFill="1"/>
    <xf numFmtId="0" fontId="10" fillId="0" borderId="3" xfId="0" applyFont="1" applyBorder="1" applyAlignment="1">
      <alignment horizontal="center"/>
    </xf>
    <xf numFmtId="0" fontId="14" fillId="2" borderId="3" xfId="0" applyFont="1" applyFill="1" applyBorder="1" applyAlignment="1">
      <alignment horizontal="left"/>
    </xf>
    <xf numFmtId="0" fontId="14" fillId="2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center" wrapText="1"/>
    </xf>
    <xf numFmtId="0" fontId="14" fillId="8" borderId="3" xfId="0" applyFont="1" applyFill="1" applyBorder="1" applyAlignment="1">
      <alignment horizontal="center" wrapText="1"/>
    </xf>
    <xf numFmtId="0" fontId="14" fillId="11" borderId="19" xfId="0" applyFont="1" applyFill="1" applyBorder="1" applyAlignment="1">
      <alignment horizontal="center" wrapText="1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0" fillId="4" borderId="3" xfId="0" applyFont="1" applyFill="1" applyBorder="1" applyAlignment="1">
      <alignment horizontal="center"/>
    </xf>
    <xf numFmtId="0" fontId="15" fillId="4" borderId="3" xfId="0" applyFont="1" applyFill="1" applyBorder="1"/>
    <xf numFmtId="0" fontId="16" fillId="4" borderId="3" xfId="0" applyFont="1" applyFill="1" applyBorder="1"/>
    <xf numFmtId="0" fontId="15" fillId="4" borderId="3" xfId="0" applyFont="1" applyFill="1" applyBorder="1" applyAlignment="1">
      <alignment horizontal="left"/>
    </xf>
    <xf numFmtId="0" fontId="15" fillId="4" borderId="3" xfId="0" applyFont="1" applyFill="1" applyBorder="1" applyAlignment="1">
      <alignment horizontal="center"/>
    </xf>
    <xf numFmtId="14" fontId="15" fillId="4" borderId="3" xfId="0" applyNumberFormat="1" applyFont="1" applyFill="1" applyBorder="1" applyAlignment="1">
      <alignment horizontal="center"/>
    </xf>
    <xf numFmtId="165" fontId="10" fillId="4" borderId="3" xfId="0" applyNumberFormat="1" applyFont="1" applyFill="1" applyBorder="1" applyAlignment="1">
      <alignment horizontal="center"/>
    </xf>
    <xf numFmtId="165" fontId="10" fillId="4" borderId="3" xfId="1" applyNumberFormat="1" applyFont="1" applyFill="1" applyBorder="1" applyAlignment="1">
      <alignment horizontal="center" wrapText="1"/>
    </xf>
    <xf numFmtId="165" fontId="14" fillId="3" borderId="3" xfId="1" applyNumberFormat="1" applyFont="1" applyFill="1" applyBorder="1" applyAlignment="1">
      <alignment horizontal="center" wrapText="1"/>
    </xf>
    <xf numFmtId="165" fontId="14" fillId="8" borderId="3" xfId="1" applyNumberFormat="1" applyFont="1" applyFill="1" applyBorder="1" applyAlignment="1">
      <alignment horizontal="center" wrapText="1"/>
    </xf>
    <xf numFmtId="165" fontId="14" fillId="11" borderId="30" xfId="1" applyNumberFormat="1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left"/>
    </xf>
    <xf numFmtId="0" fontId="10" fillId="10" borderId="3" xfId="0" applyFont="1" applyFill="1" applyBorder="1"/>
    <xf numFmtId="165" fontId="10" fillId="4" borderId="3" xfId="1" applyNumberFormat="1" applyFont="1" applyFill="1" applyBorder="1" applyAlignment="1">
      <alignment horizontal="center"/>
    </xf>
    <xf numFmtId="0" fontId="10" fillId="4" borderId="3" xfId="0" applyFont="1" applyFill="1" applyBorder="1"/>
    <xf numFmtId="165" fontId="14" fillId="11" borderId="3" xfId="1" applyNumberFormat="1" applyFont="1" applyFill="1" applyBorder="1" applyAlignment="1">
      <alignment horizontal="center" wrapText="1"/>
    </xf>
    <xf numFmtId="14" fontId="15" fillId="4" borderId="3" xfId="0" applyNumberFormat="1" applyFont="1" applyFill="1" applyBorder="1" applyAlignment="1">
      <alignment horizontal="left" wrapText="1"/>
    </xf>
    <xf numFmtId="164" fontId="10" fillId="4" borderId="3" xfId="1" applyFont="1" applyFill="1" applyBorder="1" applyAlignment="1">
      <alignment horizontal="left" wrapText="1"/>
    </xf>
    <xf numFmtId="0" fontId="10" fillId="4" borderId="3" xfId="0" applyFont="1" applyFill="1" applyBorder="1" applyAlignment="1">
      <alignment wrapText="1"/>
    </xf>
    <xf numFmtId="165" fontId="14" fillId="11" borderId="4" xfId="1" applyNumberFormat="1" applyFont="1" applyFill="1" applyBorder="1" applyAlignment="1">
      <alignment horizontal="center" wrapText="1"/>
    </xf>
    <xf numFmtId="0" fontId="14" fillId="3" borderId="3" xfId="0" applyFont="1" applyFill="1" applyBorder="1" applyAlignment="1">
      <alignment horizontal="center"/>
    </xf>
    <xf numFmtId="44" fontId="14" fillId="5" borderId="28" xfId="0" applyNumberFormat="1" applyFont="1" applyFill="1" applyBorder="1" applyAlignment="1">
      <alignment horizontal="center"/>
    </xf>
    <xf numFmtId="44" fontId="14" fillId="3" borderId="22" xfId="0" applyNumberFormat="1" applyFont="1" applyFill="1" applyBorder="1"/>
    <xf numFmtId="44" fontId="14" fillId="8" borderId="22" xfId="0" applyNumberFormat="1" applyFont="1" applyFill="1" applyBorder="1"/>
    <xf numFmtId="44" fontId="14" fillId="11" borderId="32" xfId="0" applyNumberFormat="1" applyFont="1" applyFill="1" applyBorder="1"/>
    <xf numFmtId="0" fontId="10" fillId="0" borderId="3" xfId="0" applyFont="1" applyBorder="1"/>
    <xf numFmtId="0" fontId="10" fillId="11" borderId="3" xfId="0" applyFont="1" applyFill="1" applyBorder="1"/>
    <xf numFmtId="0" fontId="10" fillId="11" borderId="3" xfId="0" applyFont="1" applyFill="1" applyBorder="1" applyAlignment="1">
      <alignment horizontal="center"/>
    </xf>
    <xf numFmtId="165" fontId="10" fillId="11" borderId="3" xfId="1" applyNumberFormat="1" applyFont="1" applyFill="1" applyBorder="1" applyAlignment="1">
      <alignment vertical="center"/>
    </xf>
    <xf numFmtId="165" fontId="17" fillId="0" borderId="0" xfId="1" applyNumberFormat="1" applyFont="1" applyBorder="1" applyAlignment="1">
      <alignment horizontal="left" vertical="center"/>
    </xf>
    <xf numFmtId="165" fontId="17" fillId="0" borderId="0" xfId="1" applyNumberFormat="1" applyFont="1" applyBorder="1" applyAlignment="1">
      <alignment horizontal="center" vertical="center"/>
    </xf>
    <xf numFmtId="14" fontId="18" fillId="4" borderId="0" xfId="0" applyNumberFormat="1" applyFont="1" applyFill="1"/>
    <xf numFmtId="165" fontId="10" fillId="11" borderId="3" xfId="0" applyNumberFormat="1" applyFont="1" applyFill="1" applyBorder="1"/>
    <xf numFmtId="165" fontId="10" fillId="0" borderId="0" xfId="0" applyNumberFormat="1" applyFont="1" applyAlignment="1">
      <alignment horizontal="left"/>
    </xf>
    <xf numFmtId="165" fontId="10" fillId="0" borderId="0" xfId="0" applyNumberFormat="1" applyFont="1" applyAlignment="1">
      <alignment horizontal="center"/>
    </xf>
    <xf numFmtId="14" fontId="10" fillId="0" borderId="0" xfId="0" applyNumberFormat="1" applyFont="1"/>
    <xf numFmtId="164" fontId="10" fillId="4" borderId="3" xfId="1" applyFont="1" applyFill="1" applyBorder="1" applyAlignment="1">
      <alignment horizontal="center"/>
    </xf>
    <xf numFmtId="0" fontId="11" fillId="4" borderId="3" xfId="0" applyFont="1" applyFill="1" applyBorder="1" applyAlignment="1">
      <alignment horizontal="left"/>
    </xf>
    <xf numFmtId="14" fontId="15" fillId="4" borderId="3" xfId="0" applyNumberFormat="1" applyFont="1" applyFill="1" applyBorder="1" applyAlignment="1">
      <alignment horizontal="left"/>
    </xf>
    <xf numFmtId="0" fontId="11" fillId="4" borderId="3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9" borderId="33" xfId="0" applyFont="1" applyFill="1" applyBorder="1" applyAlignment="1">
      <alignment horizontal="center"/>
    </xf>
    <xf numFmtId="0" fontId="12" fillId="9" borderId="31" xfId="0" applyFont="1" applyFill="1" applyBorder="1" applyAlignment="1">
      <alignment horizontal="center"/>
    </xf>
    <xf numFmtId="165" fontId="14" fillId="12" borderId="3" xfId="1" applyNumberFormat="1" applyFont="1" applyFill="1" applyBorder="1"/>
    <xf numFmtId="165" fontId="14" fillId="12" borderId="3" xfId="1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Normal 4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D1" workbookViewId="0">
      <selection activeCell="K6" sqref="K6:L6"/>
    </sheetView>
  </sheetViews>
  <sheetFormatPr defaultColWidth="9.140625" defaultRowHeight="14.25" x14ac:dyDescent="0.2"/>
  <cols>
    <col min="1" max="1" width="3.85546875" style="1" bestFit="1" customWidth="1"/>
    <col min="2" max="2" width="37.28515625" style="1" bestFit="1" customWidth="1"/>
    <col min="3" max="3" width="16.42578125" style="1" customWidth="1"/>
    <col min="4" max="4" width="33.42578125" style="1" bestFit="1" customWidth="1"/>
    <col min="5" max="5" width="15.42578125" style="1" hidden="1" customWidth="1"/>
    <col min="6" max="6" width="13.5703125" style="1" bestFit="1" customWidth="1"/>
    <col min="7" max="7" width="10.28515625" style="1" bestFit="1" customWidth="1"/>
    <col min="8" max="12" width="15" style="1" bestFit="1" customWidth="1"/>
    <col min="13" max="13" width="10.140625" style="1" bestFit="1" customWidth="1"/>
    <col min="14" max="14" width="39.28515625" style="1" customWidth="1"/>
    <col min="15" max="15" width="25.7109375" style="1" customWidth="1"/>
    <col min="16" max="16" width="5.7109375" style="1" bestFit="1" customWidth="1"/>
    <col min="17" max="16384" width="9.140625" style="1"/>
  </cols>
  <sheetData>
    <row r="1" spans="1:16" ht="14.1" x14ac:dyDescent="0.35">
      <c r="F1" s="147" t="s">
        <v>0</v>
      </c>
      <c r="G1" s="148"/>
    </row>
    <row r="2" spans="1:16" s="4" customFormat="1" ht="30" x14ac:dyDescent="0.25">
      <c r="A2" s="2"/>
      <c r="B2" s="2"/>
      <c r="C2" s="3" t="s">
        <v>81</v>
      </c>
      <c r="D2" s="2" t="s">
        <v>46</v>
      </c>
      <c r="E2" s="6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62" t="s">
        <v>6</v>
      </c>
      <c r="K2" s="62" t="s">
        <v>157</v>
      </c>
      <c r="L2" s="62" t="s">
        <v>158</v>
      </c>
      <c r="M2" s="2" t="s">
        <v>9</v>
      </c>
      <c r="N2" s="3" t="s">
        <v>11</v>
      </c>
      <c r="O2" s="2" t="s">
        <v>10</v>
      </c>
      <c r="P2" s="2" t="s">
        <v>80</v>
      </c>
    </row>
    <row r="3" spans="1:16" s="4" customFormat="1" ht="15" x14ac:dyDescent="0.25">
      <c r="A3" s="67">
        <v>1</v>
      </c>
      <c r="B3" s="64" t="s">
        <v>142</v>
      </c>
      <c r="C3" s="33" t="s">
        <v>48</v>
      </c>
      <c r="D3" s="19" t="s">
        <v>147</v>
      </c>
      <c r="E3" s="13"/>
      <c r="F3" s="29"/>
      <c r="G3" s="21"/>
      <c r="H3" s="21"/>
      <c r="I3" s="21">
        <v>24900</v>
      </c>
      <c r="J3" s="68">
        <f>SUM(F3:I3)</f>
        <v>24900</v>
      </c>
      <c r="K3" s="69">
        <f>J3</f>
        <v>24900</v>
      </c>
      <c r="L3" s="68">
        <f>K3/2</f>
        <v>12450</v>
      </c>
      <c r="M3" s="19" t="s">
        <v>159</v>
      </c>
      <c r="N3" s="12" t="s">
        <v>27</v>
      </c>
      <c r="O3" s="2"/>
      <c r="P3" s="2"/>
    </row>
    <row r="4" spans="1:16" s="7" customFormat="1" ht="15" x14ac:dyDescent="0.25">
      <c r="A4" s="13">
        <v>2</v>
      </c>
      <c r="B4" s="64" t="s">
        <v>143</v>
      </c>
      <c r="C4" s="33" t="s">
        <v>48</v>
      </c>
      <c r="D4" s="19" t="s">
        <v>149</v>
      </c>
      <c r="E4" s="13"/>
      <c r="F4" s="29"/>
      <c r="G4" s="21"/>
      <c r="H4" s="21"/>
      <c r="I4" s="21">
        <v>500</v>
      </c>
      <c r="J4" s="68">
        <v>500</v>
      </c>
      <c r="K4" s="68">
        <v>500</v>
      </c>
      <c r="L4" s="68">
        <f>F4</f>
        <v>0</v>
      </c>
      <c r="M4" s="19">
        <v>3358</v>
      </c>
      <c r="N4" s="9" t="s">
        <v>14</v>
      </c>
      <c r="O4" s="9"/>
      <c r="P4" s="6"/>
    </row>
    <row r="5" spans="1:16" s="7" customFormat="1" ht="14.1" x14ac:dyDescent="0.35">
      <c r="A5" s="13">
        <v>3</v>
      </c>
      <c r="B5" s="64" t="s">
        <v>122</v>
      </c>
      <c r="C5" s="33" t="s">
        <v>48</v>
      </c>
      <c r="D5" s="9" t="s">
        <v>148</v>
      </c>
      <c r="E5" s="13"/>
      <c r="F5" s="21"/>
      <c r="G5" s="20"/>
      <c r="H5" s="21">
        <v>10266</v>
      </c>
      <c r="I5" s="21"/>
      <c r="J5" s="68">
        <f>G5+H5+I5</f>
        <v>10266</v>
      </c>
      <c r="K5" s="68">
        <f>J5</f>
        <v>10266</v>
      </c>
      <c r="L5" s="68">
        <v>0</v>
      </c>
      <c r="M5" s="9" t="s">
        <v>160</v>
      </c>
      <c r="N5" s="9" t="s">
        <v>115</v>
      </c>
      <c r="O5" s="9"/>
      <c r="P5" s="6"/>
    </row>
    <row r="6" spans="1:16" ht="14.65" thickBot="1" x14ac:dyDescent="0.4">
      <c r="F6" s="58">
        <f>SUM(F5:F5)</f>
        <v>0</v>
      </c>
      <c r="G6" s="66">
        <f>SUM(G5:G5)</f>
        <v>0</v>
      </c>
      <c r="H6" s="66">
        <f>SUM(H3:H5)</f>
        <v>10266</v>
      </c>
      <c r="I6" s="66">
        <f>SUM(I3:I5)</f>
        <v>25400</v>
      </c>
      <c r="J6" s="59">
        <f>SUM(J3:J5)</f>
        <v>35666</v>
      </c>
      <c r="K6" s="61">
        <f>SUM(K3:K5)</f>
        <v>35666</v>
      </c>
      <c r="L6" s="61">
        <f>SUM(L3:L5)</f>
        <v>12450</v>
      </c>
    </row>
    <row r="7" spans="1:16" ht="14.65" thickBot="1" x14ac:dyDescent="0.4"/>
    <row r="8" spans="1:16" x14ac:dyDescent="0.2">
      <c r="B8" s="30" t="s">
        <v>62</v>
      </c>
    </row>
    <row r="9" spans="1:16" ht="14.1" x14ac:dyDescent="0.35">
      <c r="B9" s="31" t="s">
        <v>61</v>
      </c>
    </row>
    <row r="10" spans="1:16" ht="15" thickBot="1" x14ac:dyDescent="0.25">
      <c r="B10" s="32" t="s">
        <v>63</v>
      </c>
      <c r="K10" s="65"/>
      <c r="L10" s="65"/>
    </row>
  </sheetData>
  <mergeCells count="1">
    <mergeCell ref="F1:G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C1" workbookViewId="0">
      <selection activeCell="K17" sqref="K17"/>
    </sheetView>
  </sheetViews>
  <sheetFormatPr defaultColWidth="9.140625" defaultRowHeight="14.25" x14ac:dyDescent="0.2"/>
  <cols>
    <col min="1" max="1" width="3.85546875" style="1" bestFit="1" customWidth="1"/>
    <col min="2" max="2" width="37.28515625" style="1" bestFit="1" customWidth="1"/>
    <col min="3" max="3" width="16.42578125" style="1" customWidth="1"/>
    <col min="4" max="4" width="29.42578125" style="1" customWidth="1"/>
    <col min="5" max="5" width="15.42578125" style="1" hidden="1" customWidth="1"/>
    <col min="6" max="6" width="13.5703125" style="1" bestFit="1" customWidth="1"/>
    <col min="7" max="7" width="10.28515625" style="1" bestFit="1" customWidth="1"/>
    <col min="8" max="8" width="16.140625" style="1" bestFit="1" customWidth="1"/>
    <col min="9" max="9" width="13.85546875" style="1" bestFit="1" customWidth="1"/>
    <col min="10" max="10" width="17.85546875" style="1" customWidth="1"/>
    <col min="11" max="12" width="15.28515625" style="1" bestFit="1" customWidth="1"/>
    <col min="13" max="13" width="10.85546875" style="1" bestFit="1" customWidth="1"/>
    <col min="14" max="14" width="38.140625" style="1" bestFit="1" customWidth="1"/>
    <col min="15" max="15" width="9" style="1" bestFit="1" customWidth="1"/>
    <col min="16" max="16" width="5.7109375" style="1" bestFit="1" customWidth="1"/>
    <col min="17" max="16384" width="9.140625" style="1"/>
  </cols>
  <sheetData>
    <row r="1" spans="1:16" ht="14.1" x14ac:dyDescent="0.35">
      <c r="F1" s="147" t="s">
        <v>0</v>
      </c>
      <c r="G1" s="148"/>
    </row>
    <row r="2" spans="1:16" s="4" customFormat="1" ht="30" x14ac:dyDescent="0.25">
      <c r="A2" s="2"/>
      <c r="B2" s="2"/>
      <c r="C2" s="3" t="s">
        <v>81</v>
      </c>
      <c r="D2" s="2" t="s">
        <v>46</v>
      </c>
      <c r="E2" s="6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62" t="s">
        <v>6</v>
      </c>
      <c r="K2" s="62" t="s">
        <v>152</v>
      </c>
      <c r="L2" s="62" t="s">
        <v>153</v>
      </c>
      <c r="M2" s="2" t="s">
        <v>9</v>
      </c>
      <c r="N2" s="3" t="s">
        <v>11</v>
      </c>
      <c r="O2" s="2" t="s">
        <v>10</v>
      </c>
      <c r="P2" s="2" t="s">
        <v>80</v>
      </c>
    </row>
    <row r="3" spans="1:16" s="4" customFormat="1" ht="14.1" x14ac:dyDescent="0.35">
      <c r="A3" s="67">
        <v>1</v>
      </c>
      <c r="B3" s="64" t="s">
        <v>144</v>
      </c>
      <c r="C3" s="33" t="s">
        <v>48</v>
      </c>
      <c r="D3" s="19" t="s">
        <v>150</v>
      </c>
      <c r="E3" s="13"/>
      <c r="F3" s="29"/>
      <c r="G3" s="21"/>
      <c r="H3" s="77">
        <v>12300</v>
      </c>
      <c r="I3" s="21"/>
      <c r="J3" s="68">
        <f>SUM(F3:I3)</f>
        <v>12300</v>
      </c>
      <c r="K3" s="69">
        <f>H3/2</f>
        <v>6150</v>
      </c>
      <c r="L3" s="68">
        <f>H3/2</f>
        <v>6150</v>
      </c>
      <c r="M3" s="19" t="s">
        <v>163</v>
      </c>
      <c r="N3" s="12" t="s">
        <v>27</v>
      </c>
      <c r="O3" s="2"/>
      <c r="P3" s="2"/>
    </row>
    <row r="4" spans="1:16" s="7" customFormat="1" ht="14.1" x14ac:dyDescent="0.35">
      <c r="A4" s="13">
        <v>3</v>
      </c>
      <c r="B4" s="64" t="s">
        <v>144</v>
      </c>
      <c r="C4" s="33" t="s">
        <v>48</v>
      </c>
      <c r="D4" s="19" t="s">
        <v>151</v>
      </c>
      <c r="E4" s="13"/>
      <c r="F4" s="21"/>
      <c r="G4" s="20"/>
      <c r="H4" s="77">
        <v>16400</v>
      </c>
      <c r="I4" s="21"/>
      <c r="J4" s="68">
        <f>G4+H4+I4</f>
        <v>16400</v>
      </c>
      <c r="K4" s="68">
        <f>H4/2</f>
        <v>8200</v>
      </c>
      <c r="L4" s="68">
        <f>H4/2</f>
        <v>8200</v>
      </c>
      <c r="M4" s="19" t="s">
        <v>163</v>
      </c>
      <c r="N4" s="12" t="s">
        <v>27</v>
      </c>
      <c r="O4" s="9"/>
      <c r="P4" s="6"/>
    </row>
    <row r="5" spans="1:16" s="7" customFormat="1" ht="14.1" x14ac:dyDescent="0.35">
      <c r="A5" s="13">
        <v>2</v>
      </c>
      <c r="B5" s="64" t="s">
        <v>145</v>
      </c>
      <c r="C5" s="33" t="s">
        <v>48</v>
      </c>
      <c r="D5" s="19" t="s">
        <v>154</v>
      </c>
      <c r="E5" s="13"/>
      <c r="F5" s="29"/>
      <c r="G5" s="21"/>
      <c r="H5" s="77">
        <v>7050</v>
      </c>
      <c r="I5" s="21"/>
      <c r="J5" s="68">
        <f>H5</f>
        <v>7050</v>
      </c>
      <c r="K5" s="68">
        <f>H5/2</f>
        <v>3525</v>
      </c>
      <c r="L5" s="68">
        <f>H5/2</f>
        <v>3525</v>
      </c>
      <c r="M5" s="19" t="s">
        <v>162</v>
      </c>
      <c r="N5" s="12" t="s">
        <v>27</v>
      </c>
      <c r="O5" s="9"/>
      <c r="P5" s="6"/>
    </row>
    <row r="6" spans="1:16" s="7" customFormat="1" ht="14.1" x14ac:dyDescent="0.35">
      <c r="A6" s="67">
        <v>4</v>
      </c>
      <c r="B6" s="64" t="s">
        <v>118</v>
      </c>
      <c r="C6" s="33" t="s">
        <v>48</v>
      </c>
      <c r="D6" s="19" t="s">
        <v>155</v>
      </c>
      <c r="E6" s="13"/>
      <c r="F6" s="29"/>
      <c r="G6" s="21"/>
      <c r="H6" s="78"/>
      <c r="I6" s="78">
        <f>560+690.21</f>
        <v>1250.21</v>
      </c>
      <c r="J6" s="68"/>
      <c r="K6" s="68"/>
      <c r="L6" s="68"/>
      <c r="M6" s="19" t="s">
        <v>161</v>
      </c>
      <c r="N6" s="12" t="s">
        <v>27</v>
      </c>
      <c r="O6" s="9"/>
      <c r="P6" s="6"/>
    </row>
    <row r="7" spans="1:16" s="7" customFormat="1" ht="14.1" x14ac:dyDescent="0.35">
      <c r="A7" s="13">
        <v>6</v>
      </c>
      <c r="B7" s="64" t="s">
        <v>146</v>
      </c>
      <c r="C7" s="33" t="s">
        <v>48</v>
      </c>
      <c r="D7" s="19" t="s">
        <v>156</v>
      </c>
      <c r="E7" s="13"/>
      <c r="F7" s="29"/>
      <c r="G7" s="21"/>
      <c r="H7" s="77"/>
      <c r="I7" s="77">
        <v>1239.74</v>
      </c>
      <c r="J7" s="68"/>
      <c r="K7" s="68"/>
      <c r="L7" s="68"/>
      <c r="M7" s="19" t="s">
        <v>164</v>
      </c>
      <c r="N7" s="12" t="s">
        <v>27</v>
      </c>
      <c r="O7" s="9"/>
      <c r="P7" s="6"/>
    </row>
    <row r="8" spans="1:16" ht="14.65" thickBot="1" x14ac:dyDescent="0.4">
      <c r="F8" s="58">
        <f>SUM(F4:F7)</f>
        <v>0</v>
      </c>
      <c r="G8" s="66">
        <f>SUM(G4:G7)</f>
        <v>0</v>
      </c>
      <c r="H8" s="66">
        <f>SUM(H3:H7)</f>
        <v>35750</v>
      </c>
      <c r="I8" s="66">
        <f>SUM(I3:I7)</f>
        <v>2489.9499999999998</v>
      </c>
      <c r="J8" s="59">
        <f>SUM(J3:J7)</f>
        <v>35750</v>
      </c>
      <c r="K8" s="61">
        <f>SUM(K3:K7)</f>
        <v>17875</v>
      </c>
      <c r="L8" s="61">
        <f>SUM(L3:L7)</f>
        <v>17875</v>
      </c>
    </row>
    <row r="9" spans="1:16" ht="14.65" thickBot="1" x14ac:dyDescent="0.4"/>
    <row r="10" spans="1:16" x14ac:dyDescent="0.2">
      <c r="B10" s="30" t="s">
        <v>62</v>
      </c>
    </row>
    <row r="11" spans="1:16" ht="14.1" x14ac:dyDescent="0.35">
      <c r="B11" s="31" t="s">
        <v>61</v>
      </c>
    </row>
    <row r="12" spans="1:16" ht="15" thickBot="1" x14ac:dyDescent="0.25">
      <c r="B12" s="32" t="s">
        <v>63</v>
      </c>
      <c r="K12" s="65"/>
      <c r="L12" s="65"/>
    </row>
  </sheetData>
  <mergeCells count="1">
    <mergeCell ref="F1:G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D26" workbookViewId="0">
      <selection activeCell="J44" sqref="J44"/>
    </sheetView>
  </sheetViews>
  <sheetFormatPr defaultColWidth="9.140625" defaultRowHeight="14.25" x14ac:dyDescent="0.2"/>
  <cols>
    <col min="1" max="1" width="3.85546875" style="1" bestFit="1" customWidth="1"/>
    <col min="2" max="2" width="34.28515625" style="1" customWidth="1"/>
    <col min="3" max="3" width="16.42578125" style="1" customWidth="1"/>
    <col min="4" max="4" width="29.42578125" style="1" customWidth="1"/>
    <col min="5" max="5" width="15.42578125" style="1" hidden="1" customWidth="1"/>
    <col min="6" max="6" width="20.140625" style="1" customWidth="1"/>
    <col min="7" max="7" width="17.140625" style="1" customWidth="1"/>
    <col min="8" max="8" width="16.140625" style="1" bestFit="1" customWidth="1"/>
    <col min="9" max="9" width="16.140625" style="1" customWidth="1"/>
    <col min="10" max="10" width="17.85546875" style="1" customWidth="1"/>
    <col min="11" max="12" width="15.28515625" style="1" bestFit="1" customWidth="1"/>
    <col min="13" max="13" width="14.5703125" style="1" bestFit="1" customWidth="1"/>
    <col min="14" max="14" width="59.42578125" style="1" customWidth="1"/>
    <col min="15" max="15" width="9" style="1" bestFit="1" customWidth="1"/>
    <col min="16" max="16" width="20.85546875" style="1" bestFit="1" customWidth="1"/>
    <col min="17" max="16384" width="9.140625" style="1"/>
  </cols>
  <sheetData>
    <row r="1" spans="1:16" ht="15" x14ac:dyDescent="0.25">
      <c r="F1" s="147" t="s">
        <v>0</v>
      </c>
      <c r="G1" s="148"/>
    </row>
    <row r="2" spans="1:16" s="4" customFormat="1" ht="30" x14ac:dyDescent="0.25">
      <c r="A2" s="2"/>
      <c r="B2" s="2"/>
      <c r="C2" s="3" t="s">
        <v>81</v>
      </c>
      <c r="D2" s="2" t="s">
        <v>46</v>
      </c>
      <c r="E2" s="6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62" t="s">
        <v>6</v>
      </c>
      <c r="K2" s="62" t="s">
        <v>7</v>
      </c>
      <c r="L2" s="62" t="s">
        <v>8</v>
      </c>
      <c r="M2" s="2" t="s">
        <v>9</v>
      </c>
      <c r="N2" s="3" t="s">
        <v>11</v>
      </c>
      <c r="O2" s="2" t="s">
        <v>10</v>
      </c>
      <c r="P2" s="2" t="s">
        <v>80</v>
      </c>
    </row>
    <row r="3" spans="1:16" s="4" customFormat="1" ht="15" x14ac:dyDescent="0.25">
      <c r="A3" s="67">
        <v>1</v>
      </c>
      <c r="B3" s="64" t="s">
        <v>121</v>
      </c>
      <c r="C3" s="33" t="s">
        <v>48</v>
      </c>
      <c r="D3" s="19" t="s">
        <v>78</v>
      </c>
      <c r="E3" s="13"/>
      <c r="F3" s="29"/>
      <c r="G3" s="21">
        <v>1510</v>
      </c>
      <c r="H3" s="21">
        <v>6844</v>
      </c>
      <c r="I3" s="21">
        <v>0</v>
      </c>
      <c r="J3" s="68">
        <f>SUM(F3:I3)</f>
        <v>8354</v>
      </c>
      <c r="K3" s="69">
        <f>J3</f>
        <v>8354</v>
      </c>
      <c r="L3" s="62"/>
      <c r="M3" s="19" t="s">
        <v>187</v>
      </c>
      <c r="N3" s="9" t="s">
        <v>33</v>
      </c>
      <c r="O3" s="2"/>
      <c r="P3" s="2"/>
    </row>
    <row r="4" spans="1:16" s="7" customFormat="1" ht="15" x14ac:dyDescent="0.25">
      <c r="A4" s="13">
        <v>2</v>
      </c>
      <c r="B4" s="8" t="s">
        <v>32</v>
      </c>
      <c r="C4" s="33" t="s">
        <v>48</v>
      </c>
      <c r="D4" s="19" t="s">
        <v>52</v>
      </c>
      <c r="E4" s="13"/>
      <c r="F4" s="29">
        <v>240.27</v>
      </c>
      <c r="G4" s="21">
        <v>8409.75</v>
      </c>
      <c r="H4" s="21">
        <v>10266</v>
      </c>
      <c r="I4" s="21">
        <v>6110.39</v>
      </c>
      <c r="J4" s="68">
        <f>SUM(G4:I4)-L4</f>
        <v>24545.87</v>
      </c>
      <c r="K4" s="68">
        <f>G4+H4+I4</f>
        <v>24786.14</v>
      </c>
      <c r="L4" s="68">
        <f>F4</f>
        <v>240.27</v>
      </c>
      <c r="M4" s="19" t="s">
        <v>188</v>
      </c>
      <c r="N4" s="9" t="s">
        <v>33</v>
      </c>
      <c r="O4" s="9"/>
      <c r="P4" s="6"/>
    </row>
    <row r="5" spans="1:16" s="7" customFormat="1" ht="15" x14ac:dyDescent="0.25">
      <c r="A5" s="13">
        <v>3</v>
      </c>
      <c r="B5" s="8" t="s">
        <v>12</v>
      </c>
      <c r="C5" s="33" t="s">
        <v>48</v>
      </c>
      <c r="D5" s="9" t="s">
        <v>130</v>
      </c>
      <c r="E5" s="13"/>
      <c r="F5" s="21">
        <v>168.3</v>
      </c>
      <c r="G5" s="20">
        <f>4004.64+405.82</f>
        <v>4410.46</v>
      </c>
      <c r="H5" s="21">
        <v>3422</v>
      </c>
      <c r="I5" s="21">
        <v>950</v>
      </c>
      <c r="J5" s="68">
        <f>G5+H5+I5</f>
        <v>8782.4599999999991</v>
      </c>
      <c r="K5" s="68">
        <f>J5</f>
        <v>8782.4599999999991</v>
      </c>
      <c r="L5" s="68">
        <v>168.3</v>
      </c>
      <c r="M5" s="9" t="s">
        <v>189</v>
      </c>
      <c r="N5" s="9" t="s">
        <v>14</v>
      </c>
      <c r="O5" s="9"/>
      <c r="P5" s="6"/>
    </row>
    <row r="6" spans="1:16" s="7" customFormat="1" ht="15" x14ac:dyDescent="0.25">
      <c r="A6" s="13">
        <v>4</v>
      </c>
      <c r="B6" s="8" t="s">
        <v>29</v>
      </c>
      <c r="C6" s="33" t="s">
        <v>48</v>
      </c>
      <c r="D6" s="19" t="s">
        <v>131</v>
      </c>
      <c r="E6" s="13"/>
      <c r="F6" s="29">
        <v>135.29</v>
      </c>
      <c r="G6" s="21">
        <f>2803.25+284.07</f>
        <v>3087.32</v>
      </c>
      <c r="H6" s="21">
        <v>3422</v>
      </c>
      <c r="I6" s="21"/>
      <c r="J6" s="68">
        <f>G6+H6</f>
        <v>6509.32</v>
      </c>
      <c r="K6" s="68">
        <f>J6</f>
        <v>6509.32</v>
      </c>
      <c r="L6" s="68">
        <f>F6</f>
        <v>135.29</v>
      </c>
      <c r="M6" s="19" t="s">
        <v>190</v>
      </c>
      <c r="N6" s="12" t="s">
        <v>30</v>
      </c>
      <c r="O6" s="9"/>
      <c r="P6" s="6"/>
    </row>
    <row r="7" spans="1:16" s="7" customFormat="1" ht="15" x14ac:dyDescent="0.25">
      <c r="A7" s="67">
        <v>5</v>
      </c>
      <c r="B7" s="8" t="s">
        <v>29</v>
      </c>
      <c r="C7" s="33" t="s">
        <v>48</v>
      </c>
      <c r="D7" s="19" t="s">
        <v>132</v>
      </c>
      <c r="E7" s="13"/>
      <c r="F7" s="29"/>
      <c r="G7" s="21"/>
      <c r="H7" s="21"/>
      <c r="I7" s="21">
        <v>1435.21</v>
      </c>
      <c r="J7" s="68">
        <f>I7</f>
        <v>1435.21</v>
      </c>
      <c r="K7" s="68">
        <f>J7</f>
        <v>1435.21</v>
      </c>
      <c r="L7" s="68"/>
      <c r="M7" s="19" t="s">
        <v>166</v>
      </c>
      <c r="N7" s="12" t="s">
        <v>31</v>
      </c>
      <c r="O7" s="9"/>
      <c r="P7" s="6"/>
    </row>
    <row r="8" spans="1:16" s="7" customFormat="1" ht="15" x14ac:dyDescent="0.25">
      <c r="A8" s="13">
        <v>6</v>
      </c>
      <c r="B8" s="8" t="s">
        <v>29</v>
      </c>
      <c r="C8" s="33" t="s">
        <v>48</v>
      </c>
      <c r="D8" s="19" t="s">
        <v>133</v>
      </c>
      <c r="E8" s="13"/>
      <c r="F8" s="29"/>
      <c r="G8" s="21"/>
      <c r="H8" s="21"/>
      <c r="I8" s="21">
        <v>1501.1</v>
      </c>
      <c r="J8" s="68">
        <f>I8</f>
        <v>1501.1</v>
      </c>
      <c r="K8" s="68">
        <f>I8</f>
        <v>1501.1</v>
      </c>
      <c r="L8" s="68"/>
      <c r="M8" s="19" t="s">
        <v>165</v>
      </c>
      <c r="N8" s="12" t="s">
        <v>31</v>
      </c>
      <c r="O8" s="9"/>
      <c r="P8" s="6"/>
    </row>
    <row r="9" spans="1:16" s="7" customFormat="1" ht="15" x14ac:dyDescent="0.25">
      <c r="A9" s="13">
        <v>7</v>
      </c>
      <c r="B9" s="8" t="s">
        <v>17</v>
      </c>
      <c r="C9" s="33" t="s">
        <v>48</v>
      </c>
      <c r="D9" s="9" t="s">
        <v>185</v>
      </c>
      <c r="E9" s="13"/>
      <c r="F9" s="29">
        <v>766.24</v>
      </c>
      <c r="G9" s="20"/>
      <c r="H9" s="21"/>
      <c r="I9" s="21"/>
      <c r="J9" s="68">
        <f>F9</f>
        <v>766.24</v>
      </c>
      <c r="K9" s="68">
        <f t="shared" ref="K9:K16" si="0">J9</f>
        <v>766.24</v>
      </c>
      <c r="L9" s="68"/>
      <c r="M9" s="9" t="s">
        <v>186</v>
      </c>
      <c r="N9" s="9" t="s">
        <v>18</v>
      </c>
      <c r="O9" s="9"/>
      <c r="P9" s="6"/>
    </row>
    <row r="10" spans="1:16" ht="15.75" x14ac:dyDescent="0.25">
      <c r="A10" s="13">
        <v>8</v>
      </c>
      <c r="B10" s="14" t="s">
        <v>38</v>
      </c>
      <c r="C10" s="33" t="s">
        <v>48</v>
      </c>
      <c r="D10" s="9" t="s">
        <v>191</v>
      </c>
      <c r="E10" s="80"/>
      <c r="F10" s="29">
        <v>750.34</v>
      </c>
      <c r="G10" s="20"/>
      <c r="H10" s="20"/>
      <c r="I10" s="20"/>
      <c r="J10" s="68">
        <f>F10</f>
        <v>750.34</v>
      </c>
      <c r="K10" s="68">
        <f t="shared" si="0"/>
        <v>750.34</v>
      </c>
      <c r="L10" s="70"/>
      <c r="M10" s="9" t="s">
        <v>192</v>
      </c>
      <c r="N10" s="15" t="s">
        <v>18</v>
      </c>
      <c r="O10" s="16"/>
      <c r="P10" s="15"/>
    </row>
    <row r="11" spans="1:16" s="7" customFormat="1" ht="15" x14ac:dyDescent="0.25">
      <c r="A11" s="67">
        <v>9</v>
      </c>
      <c r="B11" s="8" t="s">
        <v>17</v>
      </c>
      <c r="C11" s="33" t="s">
        <v>48</v>
      </c>
      <c r="D11" s="9" t="s">
        <v>129</v>
      </c>
      <c r="E11" s="81"/>
      <c r="F11" s="29"/>
      <c r="G11" s="20">
        <v>6210</v>
      </c>
      <c r="H11" s="21"/>
      <c r="I11" s="21"/>
      <c r="J11" s="68">
        <f>G11</f>
        <v>6210</v>
      </c>
      <c r="K11" s="68">
        <f t="shared" si="0"/>
        <v>6210</v>
      </c>
      <c r="L11" s="68"/>
      <c r="M11" s="9" t="s">
        <v>167</v>
      </c>
      <c r="N11" s="9" t="s">
        <v>18</v>
      </c>
      <c r="O11" s="9"/>
      <c r="P11" s="6"/>
    </row>
    <row r="12" spans="1:16" s="7" customFormat="1" ht="15" x14ac:dyDescent="0.25">
      <c r="A12" s="13">
        <v>10</v>
      </c>
      <c r="B12" s="8" t="s">
        <v>15</v>
      </c>
      <c r="C12" s="33" t="s">
        <v>48</v>
      </c>
      <c r="D12" s="9" t="s">
        <v>125</v>
      </c>
      <c r="E12" s="13"/>
      <c r="F12" s="29"/>
      <c r="G12" s="20"/>
      <c r="H12" s="21"/>
      <c r="I12" s="21">
        <v>495.44</v>
      </c>
      <c r="J12" s="68">
        <f>I12</f>
        <v>495.44</v>
      </c>
      <c r="K12" s="68">
        <f t="shared" si="0"/>
        <v>495.44</v>
      </c>
      <c r="L12" s="68"/>
      <c r="M12" s="9" t="s">
        <v>168</v>
      </c>
      <c r="N12" s="9" t="s">
        <v>16</v>
      </c>
      <c r="O12" s="9"/>
      <c r="P12" s="6"/>
    </row>
    <row r="13" spans="1:16" s="4" customFormat="1" ht="15" x14ac:dyDescent="0.25">
      <c r="A13" s="13">
        <v>11</v>
      </c>
      <c r="B13" s="64" t="s">
        <v>123</v>
      </c>
      <c r="C13" s="33" t="s">
        <v>48</v>
      </c>
      <c r="D13" s="9" t="s">
        <v>127</v>
      </c>
      <c r="E13" s="72"/>
      <c r="F13" s="29"/>
      <c r="G13" s="29"/>
      <c r="H13" s="29"/>
      <c r="I13" s="29">
        <v>1505.26</v>
      </c>
      <c r="J13" s="69">
        <f>I13</f>
        <v>1505.26</v>
      </c>
      <c r="K13" s="69">
        <f>I13</f>
        <v>1505.26</v>
      </c>
      <c r="L13" s="73"/>
      <c r="M13" s="9" t="s">
        <v>171</v>
      </c>
      <c r="N13" s="12" t="s">
        <v>27</v>
      </c>
      <c r="O13" s="2"/>
      <c r="P13" s="2"/>
    </row>
    <row r="14" spans="1:16" s="4" customFormat="1" ht="15" x14ac:dyDescent="0.25">
      <c r="A14" s="13">
        <v>12</v>
      </c>
      <c r="B14" s="82" t="s">
        <v>124</v>
      </c>
      <c r="C14" s="33" t="s">
        <v>48</v>
      </c>
      <c r="D14" s="9" t="s">
        <v>128</v>
      </c>
      <c r="E14" s="72"/>
      <c r="F14" s="29"/>
      <c r="G14" s="29"/>
      <c r="H14" s="29"/>
      <c r="I14" s="29">
        <v>4294.3599999999997</v>
      </c>
      <c r="J14" s="69">
        <f>I14</f>
        <v>4294.3599999999997</v>
      </c>
      <c r="K14" s="69">
        <f>I14</f>
        <v>4294.3599999999997</v>
      </c>
      <c r="L14" s="73"/>
      <c r="M14" s="9" t="s">
        <v>172</v>
      </c>
      <c r="N14" s="12" t="s">
        <v>27</v>
      </c>
      <c r="O14" s="2"/>
      <c r="P14" s="2"/>
    </row>
    <row r="15" spans="1:16" s="4" customFormat="1" ht="15" x14ac:dyDescent="0.25">
      <c r="A15" s="67">
        <v>13</v>
      </c>
      <c r="B15" s="82" t="s">
        <v>122</v>
      </c>
      <c r="C15" s="33" t="s">
        <v>48</v>
      </c>
      <c r="D15" s="19" t="s">
        <v>251</v>
      </c>
      <c r="E15" s="63"/>
      <c r="F15" s="29"/>
      <c r="G15" s="71"/>
      <c r="H15" s="29">
        <v>6844</v>
      </c>
      <c r="I15" s="29"/>
      <c r="J15" s="69">
        <f>H15</f>
        <v>6844</v>
      </c>
      <c r="K15" s="68">
        <f t="shared" si="0"/>
        <v>6844</v>
      </c>
      <c r="L15" s="62"/>
      <c r="M15" s="19" t="s">
        <v>169</v>
      </c>
      <c r="N15" s="9" t="s">
        <v>14</v>
      </c>
      <c r="O15" s="2"/>
      <c r="P15" s="2"/>
    </row>
    <row r="16" spans="1:16" s="4" customFormat="1" ht="15" x14ac:dyDescent="0.25">
      <c r="A16" s="13">
        <v>14</v>
      </c>
      <c r="B16" s="64" t="s">
        <v>122</v>
      </c>
      <c r="C16" s="33" t="s">
        <v>48</v>
      </c>
      <c r="D16" s="15" t="s">
        <v>126</v>
      </c>
      <c r="E16" s="72"/>
      <c r="F16" s="29"/>
      <c r="G16" s="29"/>
      <c r="H16" s="29"/>
      <c r="I16" s="29">
        <v>500</v>
      </c>
      <c r="J16" s="69">
        <f>I16</f>
        <v>500</v>
      </c>
      <c r="K16" s="69">
        <f t="shared" si="0"/>
        <v>500</v>
      </c>
      <c r="L16" s="73"/>
      <c r="M16" s="15" t="s">
        <v>170</v>
      </c>
      <c r="N16" s="9" t="s">
        <v>14</v>
      </c>
      <c r="O16" s="2"/>
      <c r="P16" s="2"/>
    </row>
    <row r="17" spans="1:16" s="7" customFormat="1" x14ac:dyDescent="0.2">
      <c r="A17" s="13">
        <v>15</v>
      </c>
      <c r="B17" s="8" t="s">
        <v>79</v>
      </c>
      <c r="C17" s="9" t="s">
        <v>82</v>
      </c>
      <c r="D17" s="19" t="s">
        <v>19</v>
      </c>
      <c r="E17" s="13"/>
      <c r="F17" s="60">
        <v>600</v>
      </c>
      <c r="G17" s="21" t="s">
        <v>13</v>
      </c>
      <c r="H17" s="21" t="s">
        <v>13</v>
      </c>
      <c r="I17" s="21" t="s">
        <v>13</v>
      </c>
      <c r="J17" s="68">
        <f t="shared" ref="J17:J29" si="1">SUM(F17:I17)</f>
        <v>600</v>
      </c>
      <c r="K17" s="68"/>
      <c r="L17" s="68"/>
      <c r="M17" s="19" t="s">
        <v>173</v>
      </c>
      <c r="N17" s="9" t="s">
        <v>18</v>
      </c>
      <c r="O17" s="9"/>
      <c r="P17" s="6"/>
    </row>
    <row r="18" spans="1:16" s="7" customFormat="1" x14ac:dyDescent="0.2">
      <c r="A18" s="13">
        <v>16</v>
      </c>
      <c r="B18" s="8" t="s">
        <v>34</v>
      </c>
      <c r="C18" s="9" t="s">
        <v>82</v>
      </c>
      <c r="D18" s="19" t="s">
        <v>53</v>
      </c>
      <c r="E18" s="13"/>
      <c r="F18" s="29" t="s">
        <v>13</v>
      </c>
      <c r="G18" s="21">
        <f>320.37*13</f>
        <v>4164.8100000000004</v>
      </c>
      <c r="H18" s="21">
        <f>3422*13</f>
        <v>44486</v>
      </c>
      <c r="I18" s="21">
        <v>17790.87</v>
      </c>
      <c r="J18" s="68">
        <f>SUM(F18:I18)</f>
        <v>66441.679999999993</v>
      </c>
      <c r="K18" s="68"/>
      <c r="L18" s="68"/>
      <c r="M18" s="19" t="s">
        <v>53</v>
      </c>
      <c r="N18" s="12" t="s">
        <v>27</v>
      </c>
      <c r="O18" s="9"/>
      <c r="P18" s="6"/>
    </row>
    <row r="19" spans="1:16" s="7" customFormat="1" x14ac:dyDescent="0.2">
      <c r="A19" s="67">
        <v>17</v>
      </c>
      <c r="B19" s="8" t="s">
        <v>21</v>
      </c>
      <c r="C19" s="9" t="s">
        <v>47</v>
      </c>
      <c r="D19" s="19" t="s">
        <v>49</v>
      </c>
      <c r="E19" s="13"/>
      <c r="F19" s="29" t="s">
        <v>13</v>
      </c>
      <c r="G19" s="21" t="s">
        <v>13</v>
      </c>
      <c r="H19" s="21">
        <f>3422*5</f>
        <v>17110</v>
      </c>
      <c r="I19" s="21" t="s">
        <v>13</v>
      </c>
      <c r="J19" s="68">
        <f t="shared" si="1"/>
        <v>17110</v>
      </c>
      <c r="K19" s="68"/>
      <c r="L19" s="68"/>
      <c r="M19" s="19" t="s">
        <v>174</v>
      </c>
      <c r="N19" s="12" t="s">
        <v>22</v>
      </c>
      <c r="O19" s="9"/>
      <c r="P19" s="6"/>
    </row>
    <row r="20" spans="1:16" s="7" customFormat="1" x14ac:dyDescent="0.2">
      <c r="A20" s="13">
        <v>18</v>
      </c>
      <c r="B20" s="8" t="s">
        <v>23</v>
      </c>
      <c r="C20" s="9" t="s">
        <v>47</v>
      </c>
      <c r="D20" s="19" t="s">
        <v>25</v>
      </c>
      <c r="E20" s="13"/>
      <c r="F20" s="29" t="s">
        <v>13</v>
      </c>
      <c r="G20" s="21" t="s">
        <v>13</v>
      </c>
      <c r="H20" s="21" t="s">
        <v>24</v>
      </c>
      <c r="I20" s="21">
        <v>23465.09</v>
      </c>
      <c r="J20" s="68">
        <f t="shared" si="1"/>
        <v>23465.09</v>
      </c>
      <c r="K20" s="68"/>
      <c r="L20" s="68"/>
      <c r="M20" s="19" t="s">
        <v>175</v>
      </c>
      <c r="N20" s="9" t="s">
        <v>14</v>
      </c>
      <c r="O20" s="9"/>
      <c r="P20" s="6"/>
    </row>
    <row r="21" spans="1:16" s="7" customFormat="1" x14ac:dyDescent="0.2">
      <c r="A21" s="13">
        <v>19</v>
      </c>
      <c r="B21" s="8" t="s">
        <v>26</v>
      </c>
      <c r="C21" s="9" t="s">
        <v>47</v>
      </c>
      <c r="D21" s="19" t="s">
        <v>50</v>
      </c>
      <c r="E21" s="13"/>
      <c r="F21" s="29" t="s">
        <v>13</v>
      </c>
      <c r="G21" s="21">
        <f>320.37*2</f>
        <v>640.74</v>
      </c>
      <c r="H21" s="21">
        <f>3422*2</f>
        <v>6844</v>
      </c>
      <c r="I21" s="21">
        <v>12758.43</v>
      </c>
      <c r="J21" s="68">
        <f t="shared" si="1"/>
        <v>20243.169999999998</v>
      </c>
      <c r="K21" s="68"/>
      <c r="L21" s="68"/>
      <c r="M21" s="19" t="s">
        <v>176</v>
      </c>
      <c r="N21" s="12" t="s">
        <v>27</v>
      </c>
      <c r="O21" s="9"/>
      <c r="P21" s="6"/>
    </row>
    <row r="22" spans="1:16" s="7" customFormat="1" x14ac:dyDescent="0.2">
      <c r="A22" s="13">
        <v>20</v>
      </c>
      <c r="B22" s="8" t="s">
        <v>28</v>
      </c>
      <c r="C22" s="9" t="s">
        <v>47</v>
      </c>
      <c r="D22" s="19" t="s">
        <v>51</v>
      </c>
      <c r="E22" s="13"/>
      <c r="F22" s="29" t="s">
        <v>13</v>
      </c>
      <c r="G22" s="21"/>
      <c r="H22" s="21"/>
      <c r="I22" s="74">
        <v>15200</v>
      </c>
      <c r="J22" s="68">
        <f t="shared" si="1"/>
        <v>15200</v>
      </c>
      <c r="K22" s="68"/>
      <c r="L22" s="68"/>
      <c r="M22" s="19" t="s">
        <v>177</v>
      </c>
      <c r="N22" s="12" t="s">
        <v>27</v>
      </c>
      <c r="O22" s="9"/>
      <c r="P22" s="6"/>
    </row>
    <row r="23" spans="1:16" s="7" customFormat="1" x14ac:dyDescent="0.2">
      <c r="A23" s="67">
        <v>21</v>
      </c>
      <c r="B23" s="8" t="s">
        <v>42</v>
      </c>
      <c r="C23" s="9" t="s">
        <v>47</v>
      </c>
      <c r="D23" s="19" t="s">
        <v>43</v>
      </c>
      <c r="E23" s="13"/>
      <c r="F23" s="29"/>
      <c r="G23" s="21"/>
      <c r="H23" s="21"/>
      <c r="I23" s="21">
        <v>15625</v>
      </c>
      <c r="J23" s="68">
        <f>SUM(F23:I23)</f>
        <v>15625</v>
      </c>
      <c r="K23" s="68"/>
      <c r="L23" s="68"/>
      <c r="M23" s="19" t="s">
        <v>178</v>
      </c>
      <c r="N23" s="12" t="s">
        <v>27</v>
      </c>
      <c r="O23" s="9"/>
      <c r="P23" s="6"/>
    </row>
    <row r="24" spans="1:16" s="7" customFormat="1" x14ac:dyDescent="0.2">
      <c r="A24" s="13">
        <v>22</v>
      </c>
      <c r="B24" s="8" t="s">
        <v>44</v>
      </c>
      <c r="C24" s="9" t="s">
        <v>47</v>
      </c>
      <c r="D24" s="19" t="s">
        <v>60</v>
      </c>
      <c r="E24" s="13"/>
      <c r="F24" s="29"/>
      <c r="G24" s="21">
        <f>320.37*2</f>
        <v>640.74</v>
      </c>
      <c r="H24" s="21">
        <f>3422*2</f>
        <v>6844</v>
      </c>
      <c r="I24" s="21">
        <v>11898.35</v>
      </c>
      <c r="J24" s="68">
        <f>SUM(F24:I24)</f>
        <v>19383.09</v>
      </c>
      <c r="K24" s="68"/>
      <c r="L24" s="68"/>
      <c r="M24" s="19" t="s">
        <v>179</v>
      </c>
      <c r="N24" s="12" t="s">
        <v>27</v>
      </c>
      <c r="O24" s="9"/>
      <c r="P24" s="6"/>
    </row>
    <row r="25" spans="1:16" s="7" customFormat="1" x14ac:dyDescent="0.2">
      <c r="A25" s="13">
        <v>23</v>
      </c>
      <c r="B25" s="8" t="s">
        <v>35</v>
      </c>
      <c r="C25" s="9" t="s">
        <v>47</v>
      </c>
      <c r="D25" s="19" t="s">
        <v>54</v>
      </c>
      <c r="E25" s="13"/>
      <c r="F25" s="29">
        <v>4853.41</v>
      </c>
      <c r="G25" s="21" t="s">
        <v>13</v>
      </c>
      <c r="H25" s="21">
        <f>3422*13</f>
        <v>44486</v>
      </c>
      <c r="I25" s="21">
        <f>17790.87+20357.38</f>
        <v>38148.25</v>
      </c>
      <c r="J25" s="68">
        <f t="shared" si="1"/>
        <v>87487.66</v>
      </c>
      <c r="K25" s="68"/>
      <c r="L25" s="68"/>
      <c r="M25" s="19" t="s">
        <v>180</v>
      </c>
      <c r="N25" s="12" t="s">
        <v>27</v>
      </c>
      <c r="O25" s="9"/>
      <c r="P25" s="6"/>
    </row>
    <row r="26" spans="1:16" s="7" customFormat="1" x14ac:dyDescent="0.2">
      <c r="A26" s="13">
        <v>24</v>
      </c>
      <c r="B26" s="8" t="s">
        <v>41</v>
      </c>
      <c r="C26" s="9" t="s">
        <v>47</v>
      </c>
      <c r="D26" s="19" t="s">
        <v>59</v>
      </c>
      <c r="E26" s="13"/>
      <c r="F26" s="29"/>
      <c r="G26" s="21"/>
      <c r="H26" s="21">
        <v>7204</v>
      </c>
      <c r="I26" s="21"/>
      <c r="J26" s="68">
        <f>SUM(F26:I26)</f>
        <v>7204</v>
      </c>
      <c r="K26" s="68"/>
      <c r="L26" s="68"/>
      <c r="M26" s="19" t="s">
        <v>181</v>
      </c>
      <c r="N26" s="12" t="s">
        <v>31</v>
      </c>
      <c r="O26" s="9"/>
      <c r="P26" s="6"/>
    </row>
    <row r="27" spans="1:16" s="7" customFormat="1" x14ac:dyDescent="0.2">
      <c r="A27" s="67">
        <v>25</v>
      </c>
      <c r="B27" s="8" t="s">
        <v>55</v>
      </c>
      <c r="C27" s="9" t="s">
        <v>47</v>
      </c>
      <c r="D27" s="19" t="s">
        <v>56</v>
      </c>
      <c r="E27" s="13"/>
      <c r="F27" s="29">
        <v>1054.53</v>
      </c>
      <c r="G27" s="29">
        <v>36909.449999999997</v>
      </c>
      <c r="H27" s="21"/>
      <c r="I27" s="21"/>
      <c r="J27" s="68">
        <f t="shared" si="1"/>
        <v>37963.979999999996</v>
      </c>
      <c r="K27" s="68"/>
      <c r="L27" s="68"/>
      <c r="M27" s="19" t="s">
        <v>182</v>
      </c>
      <c r="N27" s="12" t="s">
        <v>45</v>
      </c>
      <c r="O27" s="9"/>
      <c r="P27" s="6"/>
    </row>
    <row r="28" spans="1:16" s="7" customFormat="1" x14ac:dyDescent="0.2">
      <c r="A28" s="13">
        <v>26</v>
      </c>
      <c r="B28" s="8" t="s">
        <v>39</v>
      </c>
      <c r="C28" s="9" t="s">
        <v>47</v>
      </c>
      <c r="D28" s="19" t="s">
        <v>57</v>
      </c>
      <c r="E28" s="13"/>
      <c r="F28" s="29"/>
      <c r="G28" s="21">
        <f>468.69*28</f>
        <v>13123.32</v>
      </c>
      <c r="H28" s="21">
        <f>3422*28</f>
        <v>95816</v>
      </c>
      <c r="I28" s="21">
        <v>20582.93</v>
      </c>
      <c r="J28" s="68">
        <f t="shared" si="1"/>
        <v>129522.25</v>
      </c>
      <c r="K28" s="68"/>
      <c r="L28" s="68"/>
      <c r="M28" s="19" t="s">
        <v>183</v>
      </c>
      <c r="N28" s="12" t="s">
        <v>27</v>
      </c>
      <c r="O28" s="9"/>
      <c r="P28" s="6"/>
    </row>
    <row r="29" spans="1:16" s="7" customFormat="1" x14ac:dyDescent="0.2">
      <c r="A29" s="13">
        <v>27</v>
      </c>
      <c r="B29" s="8" t="s">
        <v>40</v>
      </c>
      <c r="C29" s="9" t="s">
        <v>47</v>
      </c>
      <c r="D29" s="19" t="s">
        <v>58</v>
      </c>
      <c r="E29" s="13"/>
      <c r="F29" s="29"/>
      <c r="G29" s="21">
        <f>468.69*12</f>
        <v>5624.28</v>
      </c>
      <c r="H29" s="21">
        <f>3422*12</f>
        <v>41064</v>
      </c>
      <c r="I29" s="21">
        <v>17618.64</v>
      </c>
      <c r="J29" s="68">
        <f t="shared" si="1"/>
        <v>64306.92</v>
      </c>
      <c r="K29" s="68"/>
      <c r="L29" s="68"/>
      <c r="M29" s="19" t="s">
        <v>183</v>
      </c>
      <c r="N29" s="12" t="s">
        <v>27</v>
      </c>
      <c r="O29" s="9"/>
      <c r="P29" s="6"/>
    </row>
    <row r="30" spans="1:16" s="7" customFormat="1" x14ac:dyDescent="0.2">
      <c r="A30" s="13">
        <v>28</v>
      </c>
      <c r="B30" s="8" t="s">
        <v>36</v>
      </c>
      <c r="C30" s="75" t="s">
        <v>83</v>
      </c>
      <c r="D30" s="19" t="s">
        <v>37</v>
      </c>
      <c r="E30" s="13"/>
      <c r="F30" s="29"/>
      <c r="G30" s="21"/>
      <c r="H30" s="21"/>
      <c r="I30" s="21">
        <v>7562.49</v>
      </c>
      <c r="J30" s="68">
        <f>SUM(F30:I30)</f>
        <v>7562.49</v>
      </c>
      <c r="K30" s="68"/>
      <c r="L30" s="68"/>
      <c r="M30" s="19" t="s">
        <v>184</v>
      </c>
      <c r="N30" s="9" t="s">
        <v>14</v>
      </c>
      <c r="O30" s="9"/>
      <c r="P30" s="57" t="s">
        <v>84</v>
      </c>
    </row>
    <row r="31" spans="1:16" ht="15.75" thickBot="1" x14ac:dyDescent="0.3">
      <c r="F31" s="58">
        <f>SUM(F5:F30)</f>
        <v>8328.11</v>
      </c>
      <c r="G31" s="66">
        <f>SUM(G5:G30)</f>
        <v>74811.12</v>
      </c>
      <c r="H31" s="66">
        <f>SUM(H5:H30)</f>
        <v>277542</v>
      </c>
      <c r="I31" s="66">
        <f>SUM(I5:I30)</f>
        <v>191331.41999999998</v>
      </c>
      <c r="J31" s="59">
        <f>SUM(J5:J30)</f>
        <v>551709.05999999994</v>
      </c>
      <c r="K31" s="61">
        <f>SUM(K3:K30)</f>
        <v>72733.87</v>
      </c>
      <c r="L31" s="61">
        <f>SUM(L3:L30)</f>
        <v>543.86</v>
      </c>
    </row>
    <row r="32" spans="1:16" ht="15" thickBot="1" x14ac:dyDescent="0.25"/>
    <row r="33" spans="2:12" x14ac:dyDescent="0.2">
      <c r="B33" s="30" t="s">
        <v>62</v>
      </c>
    </row>
    <row r="34" spans="2:12" x14ac:dyDescent="0.2">
      <c r="B34" s="31" t="s">
        <v>61</v>
      </c>
    </row>
    <row r="35" spans="2:12" ht="15" thickBot="1" x14ac:dyDescent="0.25">
      <c r="B35" s="32" t="s">
        <v>63</v>
      </c>
      <c r="K35" s="65"/>
      <c r="L35" s="65"/>
    </row>
    <row r="36" spans="2:12" ht="15.75" thickBot="1" x14ac:dyDescent="0.3">
      <c r="C36" s="46" t="s">
        <v>64</v>
      </c>
      <c r="D36" s="47"/>
    </row>
    <row r="37" spans="2:12" ht="30.75" thickBot="1" x14ac:dyDescent="0.3">
      <c r="C37" s="34" t="s">
        <v>65</v>
      </c>
      <c r="D37" s="50" t="s">
        <v>66</v>
      </c>
      <c r="E37" s="40" t="s">
        <v>71</v>
      </c>
      <c r="F37" s="42" t="s">
        <v>75</v>
      </c>
      <c r="G37" s="35" t="s">
        <v>3</v>
      </c>
      <c r="H37" s="35" t="s">
        <v>4</v>
      </c>
      <c r="I37" s="36" t="s">
        <v>5</v>
      </c>
      <c r="J37" s="49" t="s">
        <v>70</v>
      </c>
    </row>
    <row r="38" spans="2:12" ht="15" x14ac:dyDescent="0.25">
      <c r="C38" s="39" t="s">
        <v>67</v>
      </c>
      <c r="D38" s="51" t="s">
        <v>69</v>
      </c>
      <c r="E38" s="54" t="s">
        <v>74</v>
      </c>
      <c r="F38" s="5">
        <v>168.3</v>
      </c>
      <c r="G38" s="20">
        <f>4004.64+405</f>
        <v>4409.6399999999994</v>
      </c>
      <c r="H38" s="21">
        <f>3422*1</f>
        <v>3422</v>
      </c>
      <c r="I38" s="22">
        <v>950</v>
      </c>
      <c r="J38" s="48">
        <f>SUM(F38:I38)</f>
        <v>8949.9399999999987</v>
      </c>
    </row>
    <row r="39" spans="2:12" ht="15" x14ac:dyDescent="0.25">
      <c r="C39" s="37" t="s">
        <v>38</v>
      </c>
      <c r="D39" s="51" t="s">
        <v>69</v>
      </c>
      <c r="E39" s="55" t="s">
        <v>72</v>
      </c>
      <c r="F39" s="41">
        <v>750.34</v>
      </c>
      <c r="G39" s="25"/>
      <c r="H39" s="25"/>
      <c r="I39" s="26"/>
      <c r="J39" s="43">
        <f t="shared" ref="J39" si="2">SUM(F39:I39)</f>
        <v>750.34</v>
      </c>
    </row>
    <row r="40" spans="2:12" ht="15" x14ac:dyDescent="0.25">
      <c r="C40" s="37" t="s">
        <v>17</v>
      </c>
      <c r="D40" s="51" t="s">
        <v>69</v>
      </c>
      <c r="E40" s="55" t="s">
        <v>73</v>
      </c>
      <c r="F40" s="5">
        <v>766.24</v>
      </c>
      <c r="G40" s="20"/>
      <c r="H40" s="21"/>
      <c r="I40" s="23"/>
      <c r="J40" s="43">
        <f>SUM(F40:I40)</f>
        <v>766.24</v>
      </c>
    </row>
    <row r="41" spans="2:12" ht="15" x14ac:dyDescent="0.25">
      <c r="C41" s="37" t="s">
        <v>68</v>
      </c>
      <c r="D41" s="51" t="s">
        <v>69</v>
      </c>
      <c r="E41" s="54" t="s">
        <v>74</v>
      </c>
      <c r="F41" s="11">
        <v>135.29</v>
      </c>
      <c r="G41" s="10">
        <f>2803.25+284.07</f>
        <v>3087.32</v>
      </c>
      <c r="H41" s="24">
        <f>3422*1</f>
        <v>3422</v>
      </c>
      <c r="I41" s="23"/>
      <c r="J41" s="44">
        <f>SUM(F41:I41)-L41</f>
        <v>6644.6100000000006</v>
      </c>
    </row>
    <row r="42" spans="2:12" ht="15.75" thickBot="1" x14ac:dyDescent="0.3">
      <c r="C42" s="38" t="s">
        <v>32</v>
      </c>
      <c r="D42" s="52" t="s">
        <v>69</v>
      </c>
      <c r="E42" s="56" t="s">
        <v>76</v>
      </c>
      <c r="F42" s="17">
        <v>240.27</v>
      </c>
      <c r="G42" s="18">
        <v>8409.75</v>
      </c>
      <c r="H42" s="27">
        <f>3422*3</f>
        <v>10266</v>
      </c>
      <c r="I42" s="28">
        <v>6610.39</v>
      </c>
      <c r="J42" s="45">
        <f>SUM(F42:I42)-L42</f>
        <v>25526.41</v>
      </c>
    </row>
    <row r="43" spans="2:12" ht="15.75" thickBot="1" x14ac:dyDescent="0.3">
      <c r="J43" s="53">
        <f>SUM(J38:J42)</f>
        <v>42637.539999999994</v>
      </c>
    </row>
    <row r="46" spans="2:12" x14ac:dyDescent="0.2">
      <c r="D46" s="1" t="s">
        <v>250</v>
      </c>
    </row>
  </sheetData>
  <mergeCells count="1">
    <mergeCell ref="F1:G1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abSelected="1" zoomScaleNormal="100" workbookViewId="0">
      <pane ySplit="2" topLeftCell="A32" activePane="bottomLeft" state="frozen"/>
      <selection pane="bottomLeft" activeCell="C41" sqref="C41"/>
    </sheetView>
  </sheetViews>
  <sheetFormatPr defaultColWidth="9.140625" defaultRowHeight="12.75" x14ac:dyDescent="0.2"/>
  <cols>
    <col min="1" max="1" width="3.85546875" style="93" bestFit="1" customWidth="1"/>
    <col min="2" max="2" width="23.85546875" style="94" customWidth="1"/>
    <col min="3" max="3" width="12.85546875" style="94" bestFit="1" customWidth="1"/>
    <col min="4" max="4" width="26.28515625" style="94" bestFit="1" customWidth="1"/>
    <col min="5" max="5" width="19.140625" style="93" bestFit="1" customWidth="1"/>
    <col min="6" max="6" width="15.42578125" style="93" bestFit="1" customWidth="1"/>
    <col min="7" max="7" width="17.5703125" style="93" bestFit="1" customWidth="1"/>
    <col min="8" max="8" width="25.42578125" style="93" bestFit="1" customWidth="1"/>
    <col min="9" max="9" width="22.85546875" style="95" bestFit="1" customWidth="1"/>
    <col min="10" max="10" width="15.140625" style="93" bestFit="1" customWidth="1"/>
    <col min="11" max="11" width="15.85546875" style="94" bestFit="1" customWidth="1"/>
    <col min="12" max="13" width="16.140625" style="94" bestFit="1" customWidth="1"/>
    <col min="14" max="14" width="16.140625" style="94" customWidth="1"/>
    <col min="15" max="15" width="18" style="94" bestFit="1" customWidth="1"/>
    <col min="16" max="16" width="18.42578125" style="94" bestFit="1" customWidth="1"/>
    <col min="17" max="17" width="16" style="96" bestFit="1" customWidth="1"/>
    <col min="18" max="18" width="18.28515625" style="96" bestFit="1" customWidth="1"/>
    <col min="19" max="19" width="22.7109375" style="94" bestFit="1" customWidth="1"/>
    <col min="20" max="20" width="85.42578125" style="94" bestFit="1" customWidth="1"/>
    <col min="21" max="16384" width="9.140625" style="94"/>
  </cols>
  <sheetData>
    <row r="1" spans="1:20" ht="13.5" thickBot="1" x14ac:dyDescent="0.25">
      <c r="K1" s="149" t="s">
        <v>0</v>
      </c>
      <c r="L1" s="150"/>
    </row>
    <row r="2" spans="1:20" s="106" customFormat="1" ht="26.25" thickBot="1" x14ac:dyDescent="0.25">
      <c r="A2" s="97"/>
      <c r="B2" s="98" t="s">
        <v>253</v>
      </c>
      <c r="C2" s="98" t="s">
        <v>81</v>
      </c>
      <c r="D2" s="98" t="s">
        <v>254</v>
      </c>
      <c r="E2" s="99" t="s">
        <v>213</v>
      </c>
      <c r="F2" s="99" t="s">
        <v>326</v>
      </c>
      <c r="G2" s="100" t="s">
        <v>265</v>
      </c>
      <c r="H2" s="100" t="s">
        <v>272</v>
      </c>
      <c r="I2" s="100" t="s">
        <v>271</v>
      </c>
      <c r="J2" s="100" t="s">
        <v>268</v>
      </c>
      <c r="K2" s="98" t="s">
        <v>2</v>
      </c>
      <c r="L2" s="98" t="s">
        <v>3</v>
      </c>
      <c r="M2" s="98" t="s">
        <v>4</v>
      </c>
      <c r="N2" s="98" t="s">
        <v>5</v>
      </c>
      <c r="O2" s="101" t="s">
        <v>6</v>
      </c>
      <c r="P2" s="102" t="s">
        <v>252</v>
      </c>
      <c r="Q2" s="103" t="s">
        <v>275</v>
      </c>
      <c r="R2" s="98" t="s">
        <v>11</v>
      </c>
      <c r="S2" s="104" t="s">
        <v>10</v>
      </c>
      <c r="T2" s="105" t="s">
        <v>80</v>
      </c>
    </row>
    <row r="3" spans="1:20" s="96" customFormat="1" x14ac:dyDescent="0.2">
      <c r="A3" s="107">
        <v>1</v>
      </c>
      <c r="B3" s="108" t="s">
        <v>321</v>
      </c>
      <c r="C3" s="109" t="s">
        <v>48</v>
      </c>
      <c r="D3" s="110" t="s">
        <v>274</v>
      </c>
      <c r="E3" s="107">
        <v>230</v>
      </c>
      <c r="F3" s="107">
        <v>206</v>
      </c>
      <c r="G3" s="111">
        <v>0</v>
      </c>
      <c r="H3" s="112">
        <v>44862</v>
      </c>
      <c r="I3" s="110" t="s">
        <v>327</v>
      </c>
      <c r="J3" s="112">
        <v>44866</v>
      </c>
      <c r="K3" s="113" t="s">
        <v>13</v>
      </c>
      <c r="L3" s="114" t="s">
        <v>13</v>
      </c>
      <c r="M3" s="114" t="s">
        <v>13</v>
      </c>
      <c r="N3" s="114">
        <v>185.79</v>
      </c>
      <c r="O3" s="115">
        <f>N3</f>
        <v>185.79</v>
      </c>
      <c r="P3" s="116">
        <f>O3</f>
        <v>185.79</v>
      </c>
      <c r="Q3" s="117" t="s">
        <v>280</v>
      </c>
      <c r="R3" s="118" t="s">
        <v>115</v>
      </c>
      <c r="S3" s="118" t="s">
        <v>199</v>
      </c>
      <c r="T3" s="119" t="s">
        <v>229</v>
      </c>
    </row>
    <row r="4" spans="1:20" s="96" customFormat="1" x14ac:dyDescent="0.2">
      <c r="A4" s="107">
        <v>2</v>
      </c>
      <c r="B4" s="108" t="s">
        <v>79</v>
      </c>
      <c r="C4" s="109" t="s">
        <v>48</v>
      </c>
      <c r="D4" s="110" t="s">
        <v>259</v>
      </c>
      <c r="E4" s="107" t="s">
        <v>214</v>
      </c>
      <c r="F4" s="107">
        <v>1618</v>
      </c>
      <c r="G4" s="111">
        <v>0</v>
      </c>
      <c r="H4" s="112">
        <v>44860</v>
      </c>
      <c r="I4" s="110" t="s">
        <v>327</v>
      </c>
      <c r="J4" s="112">
        <v>44862</v>
      </c>
      <c r="K4" s="120">
        <v>600</v>
      </c>
      <c r="L4" s="114" t="s">
        <v>13</v>
      </c>
      <c r="M4" s="114" t="s">
        <v>13</v>
      </c>
      <c r="N4" s="114" t="s">
        <v>13</v>
      </c>
      <c r="O4" s="115">
        <f>SUM(K4:N4)</f>
        <v>600</v>
      </c>
      <c r="P4" s="116">
        <f t="shared" ref="P4:P12" si="0">O4</f>
        <v>600</v>
      </c>
      <c r="Q4" s="117" t="s">
        <v>280</v>
      </c>
      <c r="R4" s="118" t="s">
        <v>20</v>
      </c>
      <c r="S4" s="118" t="s">
        <v>200</v>
      </c>
      <c r="T4" s="119" t="s">
        <v>229</v>
      </c>
    </row>
    <row r="5" spans="1:20" s="96" customFormat="1" x14ac:dyDescent="0.2">
      <c r="A5" s="107">
        <v>3</v>
      </c>
      <c r="B5" s="108" t="s">
        <v>138</v>
      </c>
      <c r="C5" s="109" t="s">
        <v>48</v>
      </c>
      <c r="D5" s="110" t="s">
        <v>139</v>
      </c>
      <c r="E5" s="107" t="s">
        <v>215</v>
      </c>
      <c r="F5" s="107">
        <v>1625</v>
      </c>
      <c r="G5" s="111">
        <v>0</v>
      </c>
      <c r="H5" s="112">
        <v>44859</v>
      </c>
      <c r="I5" s="110" t="s">
        <v>327</v>
      </c>
      <c r="J5" s="112">
        <v>44866</v>
      </c>
      <c r="K5" s="113">
        <v>1768.28</v>
      </c>
      <c r="L5" s="114" t="s">
        <v>13</v>
      </c>
      <c r="M5" s="114" t="s">
        <v>13</v>
      </c>
      <c r="N5" s="114" t="s">
        <v>13</v>
      </c>
      <c r="O5" s="115">
        <f>K5</f>
        <v>1768.28</v>
      </c>
      <c r="P5" s="116">
        <f t="shared" si="0"/>
        <v>1768.28</v>
      </c>
      <c r="Q5" s="117" t="s">
        <v>280</v>
      </c>
      <c r="R5" s="118" t="s">
        <v>20</v>
      </c>
      <c r="S5" s="118" t="s">
        <v>201</v>
      </c>
      <c r="T5" s="119" t="s">
        <v>229</v>
      </c>
    </row>
    <row r="6" spans="1:20" s="96" customFormat="1" ht="38.25" x14ac:dyDescent="0.2">
      <c r="A6" s="107">
        <v>4</v>
      </c>
      <c r="B6" s="108" t="s">
        <v>321</v>
      </c>
      <c r="C6" s="109" t="s">
        <v>48</v>
      </c>
      <c r="D6" s="110" t="s">
        <v>140</v>
      </c>
      <c r="E6" s="107" t="s">
        <v>216</v>
      </c>
      <c r="F6" s="107" t="s">
        <v>318</v>
      </c>
      <c r="G6" s="111">
        <v>0</v>
      </c>
      <c r="H6" s="112">
        <v>44836</v>
      </c>
      <c r="I6" s="123" t="s">
        <v>328</v>
      </c>
      <c r="J6" s="112">
        <v>44868</v>
      </c>
      <c r="K6" s="114" t="s">
        <v>13</v>
      </c>
      <c r="L6" s="114" t="s">
        <v>13</v>
      </c>
      <c r="M6" s="114" t="s">
        <v>13</v>
      </c>
      <c r="N6" s="114">
        <f>1453.86+409.91</f>
        <v>1863.77</v>
      </c>
      <c r="O6" s="115">
        <f>SUM(M6:N6)</f>
        <v>1863.77</v>
      </c>
      <c r="P6" s="116">
        <f t="shared" si="0"/>
        <v>1863.77</v>
      </c>
      <c r="Q6" s="117" t="s">
        <v>280</v>
      </c>
      <c r="R6" s="118" t="s">
        <v>115</v>
      </c>
      <c r="S6" s="118" t="s">
        <v>199</v>
      </c>
      <c r="T6" s="119" t="s">
        <v>229</v>
      </c>
    </row>
    <row r="7" spans="1:20" s="96" customFormat="1" x14ac:dyDescent="0.2">
      <c r="A7" s="107">
        <v>5</v>
      </c>
      <c r="B7" s="108" t="s">
        <v>118</v>
      </c>
      <c r="C7" s="109" t="s">
        <v>48</v>
      </c>
      <c r="D7" s="110" t="s">
        <v>119</v>
      </c>
      <c r="E7" s="107" t="s">
        <v>217</v>
      </c>
      <c r="F7" s="107" t="s">
        <v>320</v>
      </c>
      <c r="G7" s="111">
        <v>0</v>
      </c>
      <c r="H7" s="112">
        <v>44862</v>
      </c>
      <c r="I7" s="110" t="s">
        <v>327</v>
      </c>
      <c r="J7" s="112">
        <v>44868</v>
      </c>
      <c r="K7" s="114" t="s">
        <v>13</v>
      </c>
      <c r="L7" s="114" t="s">
        <v>13</v>
      </c>
      <c r="M7" s="114" t="s">
        <v>13</v>
      </c>
      <c r="N7" s="114">
        <f>480.82+749.2</f>
        <v>1230.02</v>
      </c>
      <c r="O7" s="115">
        <f>SUM(M7:N7)</f>
        <v>1230.02</v>
      </c>
      <c r="P7" s="116">
        <f t="shared" si="0"/>
        <v>1230.02</v>
      </c>
      <c r="Q7" s="117" t="s">
        <v>280</v>
      </c>
      <c r="R7" s="118" t="s">
        <v>14</v>
      </c>
      <c r="S7" s="118" t="s">
        <v>218</v>
      </c>
      <c r="T7" s="119" t="s">
        <v>229</v>
      </c>
    </row>
    <row r="8" spans="1:20" s="96" customFormat="1" x14ac:dyDescent="0.2">
      <c r="A8" s="107">
        <v>6</v>
      </c>
      <c r="B8" s="108" t="s">
        <v>193</v>
      </c>
      <c r="C8" s="109" t="s">
        <v>48</v>
      </c>
      <c r="D8" s="110" t="s">
        <v>276</v>
      </c>
      <c r="E8" s="107">
        <v>1612</v>
      </c>
      <c r="F8" s="107">
        <v>1628</v>
      </c>
      <c r="G8" s="111">
        <v>0</v>
      </c>
      <c r="H8" s="112">
        <v>44859</v>
      </c>
      <c r="I8" s="110" t="s">
        <v>327</v>
      </c>
      <c r="J8" s="112">
        <v>44866</v>
      </c>
      <c r="K8" s="114" t="s">
        <v>13</v>
      </c>
      <c r="L8" s="114" t="s">
        <v>13</v>
      </c>
      <c r="M8" s="114" t="s">
        <v>13</v>
      </c>
      <c r="N8" s="114">
        <v>828.66</v>
      </c>
      <c r="O8" s="115">
        <f>N8</f>
        <v>828.66</v>
      </c>
      <c r="P8" s="116">
        <f t="shared" si="0"/>
        <v>828.66</v>
      </c>
      <c r="Q8" s="117" t="s">
        <v>280</v>
      </c>
      <c r="R8" s="118" t="s">
        <v>230</v>
      </c>
      <c r="S8" s="118" t="s">
        <v>219</v>
      </c>
      <c r="T8" s="119" t="s">
        <v>229</v>
      </c>
    </row>
    <row r="9" spans="1:20" s="96" customFormat="1" x14ac:dyDescent="0.2">
      <c r="A9" s="107">
        <v>7</v>
      </c>
      <c r="B9" s="121" t="s">
        <v>109</v>
      </c>
      <c r="C9" s="109" t="s">
        <v>48</v>
      </c>
      <c r="D9" s="110" t="s">
        <v>112</v>
      </c>
      <c r="E9" s="107">
        <v>1614</v>
      </c>
      <c r="F9" s="107">
        <v>1632</v>
      </c>
      <c r="G9" s="111">
        <v>0</v>
      </c>
      <c r="H9" s="112">
        <v>44861</v>
      </c>
      <c r="I9" s="110" t="s">
        <v>327</v>
      </c>
      <c r="J9" s="112">
        <v>44874</v>
      </c>
      <c r="K9" s="114" t="s">
        <v>13</v>
      </c>
      <c r="L9" s="114" t="s">
        <v>13</v>
      </c>
      <c r="M9" s="114" t="s">
        <v>13</v>
      </c>
      <c r="N9" s="114">
        <v>3786.1</v>
      </c>
      <c r="O9" s="115">
        <f>N9</f>
        <v>3786.1</v>
      </c>
      <c r="P9" s="116">
        <f t="shared" si="0"/>
        <v>3786.1</v>
      </c>
      <c r="Q9" s="117" t="s">
        <v>280</v>
      </c>
      <c r="R9" s="118" t="s">
        <v>115</v>
      </c>
      <c r="S9" s="118" t="s">
        <v>197</v>
      </c>
      <c r="T9" s="119" t="s">
        <v>229</v>
      </c>
    </row>
    <row r="10" spans="1:20" s="96" customFormat="1" x14ac:dyDescent="0.2">
      <c r="A10" s="107">
        <v>8</v>
      </c>
      <c r="B10" s="121" t="s">
        <v>116</v>
      </c>
      <c r="C10" s="109" t="s">
        <v>48</v>
      </c>
      <c r="D10" s="110" t="s">
        <v>117</v>
      </c>
      <c r="E10" s="107" t="s">
        <v>240</v>
      </c>
      <c r="F10" s="107" t="s">
        <v>319</v>
      </c>
      <c r="G10" s="111">
        <v>0</v>
      </c>
      <c r="H10" s="112">
        <v>44837</v>
      </c>
      <c r="I10" s="110" t="s">
        <v>327</v>
      </c>
      <c r="J10" s="112">
        <v>44872</v>
      </c>
      <c r="K10" s="114" t="s">
        <v>13</v>
      </c>
      <c r="L10" s="114" t="s">
        <v>13</v>
      </c>
      <c r="M10" s="114" t="s">
        <v>13</v>
      </c>
      <c r="N10" s="114">
        <f>510.34+3654.75</f>
        <v>4165.09</v>
      </c>
      <c r="O10" s="115">
        <f>SUM(M10:N10)</f>
        <v>4165.09</v>
      </c>
      <c r="P10" s="116">
        <f t="shared" si="0"/>
        <v>4165.09</v>
      </c>
      <c r="Q10" s="122" t="s">
        <v>281</v>
      </c>
      <c r="S10" s="118" t="s">
        <v>202</v>
      </c>
      <c r="T10" s="119" t="s">
        <v>229</v>
      </c>
    </row>
    <row r="11" spans="1:20" s="96" customFormat="1" ht="45" x14ac:dyDescent="0.2">
      <c r="A11" s="107">
        <v>9</v>
      </c>
      <c r="B11" s="108" t="s">
        <v>88</v>
      </c>
      <c r="C11" s="109" t="s">
        <v>48</v>
      </c>
      <c r="D11" s="110" t="s">
        <v>273</v>
      </c>
      <c r="E11" s="107" t="s">
        <v>282</v>
      </c>
      <c r="F11" s="107" t="s">
        <v>322</v>
      </c>
      <c r="G11" s="111">
        <v>0</v>
      </c>
      <c r="H11" s="112">
        <v>44820</v>
      </c>
      <c r="I11" s="92" t="s">
        <v>277</v>
      </c>
      <c r="J11" s="112">
        <v>44881</v>
      </c>
      <c r="K11" s="113">
        <f>117.17*5</f>
        <v>585.85</v>
      </c>
      <c r="L11" s="114">
        <v>20505.25</v>
      </c>
      <c r="M11" s="114" t="s">
        <v>13</v>
      </c>
      <c r="N11" s="114" t="s">
        <v>13</v>
      </c>
      <c r="O11" s="115">
        <f>SUM(K11:N11)</f>
        <v>21091.1</v>
      </c>
      <c r="P11" s="116">
        <f t="shared" si="0"/>
        <v>21091.1</v>
      </c>
      <c r="Q11" s="117" t="s">
        <v>280</v>
      </c>
      <c r="R11" s="118" t="s">
        <v>115</v>
      </c>
      <c r="S11" s="118" t="s">
        <v>197</v>
      </c>
      <c r="T11" s="119" t="s">
        <v>229</v>
      </c>
    </row>
    <row r="12" spans="1:20" s="96" customFormat="1" ht="25.5" x14ac:dyDescent="0.2">
      <c r="A12" s="107">
        <v>10</v>
      </c>
      <c r="B12" s="108" t="s">
        <v>137</v>
      </c>
      <c r="C12" s="109" t="s">
        <v>48</v>
      </c>
      <c r="D12" s="110" t="s">
        <v>258</v>
      </c>
      <c r="E12" s="107">
        <v>239</v>
      </c>
      <c r="F12" s="107">
        <v>215</v>
      </c>
      <c r="G12" s="111">
        <v>6</v>
      </c>
      <c r="H12" s="112">
        <v>44866</v>
      </c>
      <c r="I12" s="110" t="s">
        <v>327</v>
      </c>
      <c r="J12" s="112">
        <v>44883</v>
      </c>
      <c r="K12" s="114" t="s">
        <v>13</v>
      </c>
      <c r="L12" s="114" t="s">
        <v>13</v>
      </c>
      <c r="M12" s="114">
        <f>3602.11*6</f>
        <v>21612.66</v>
      </c>
      <c r="N12" s="114" t="s">
        <v>13</v>
      </c>
      <c r="O12" s="115">
        <f>M12</f>
        <v>21612.66</v>
      </c>
      <c r="P12" s="116">
        <f t="shared" si="0"/>
        <v>21612.66</v>
      </c>
      <c r="Q12" s="117" t="s">
        <v>280</v>
      </c>
      <c r="R12" s="124" t="s">
        <v>323</v>
      </c>
      <c r="S12" s="118" t="s">
        <v>227</v>
      </c>
      <c r="T12" s="119" t="s">
        <v>229</v>
      </c>
    </row>
    <row r="13" spans="1:20" s="96" customFormat="1" ht="25.5" x14ac:dyDescent="0.2">
      <c r="A13" s="107">
        <v>11</v>
      </c>
      <c r="B13" s="121" t="s">
        <v>102</v>
      </c>
      <c r="C13" s="144" t="s">
        <v>85</v>
      </c>
      <c r="D13" s="110" t="s">
        <v>113</v>
      </c>
      <c r="E13" s="107"/>
      <c r="F13" s="107"/>
      <c r="G13" s="111">
        <v>0</v>
      </c>
      <c r="H13" s="112">
        <v>44869</v>
      </c>
      <c r="I13" s="110" t="s">
        <v>327</v>
      </c>
      <c r="J13" s="111"/>
      <c r="K13" s="113">
        <v>685.56</v>
      </c>
      <c r="L13" s="114">
        <v>23994.880000000001</v>
      </c>
      <c r="M13" s="114" t="s">
        <v>13</v>
      </c>
      <c r="N13" s="114">
        <v>1414.42</v>
      </c>
      <c r="O13" s="115">
        <f t="shared" ref="O13:O28" si="1">SUM(K13:N13)</f>
        <v>26094.86</v>
      </c>
      <c r="P13" s="116"/>
      <c r="Q13" s="122"/>
      <c r="R13" s="118" t="s">
        <v>115</v>
      </c>
      <c r="S13" s="118" t="s">
        <v>224</v>
      </c>
      <c r="T13" s="125" t="s">
        <v>324</v>
      </c>
    </row>
    <row r="14" spans="1:20" s="96" customFormat="1" ht="38.25" x14ac:dyDescent="0.2">
      <c r="A14" s="107">
        <v>12</v>
      </c>
      <c r="B14" s="121" t="s">
        <v>108</v>
      </c>
      <c r="C14" s="144" t="s">
        <v>85</v>
      </c>
      <c r="D14" s="110" t="s">
        <v>136</v>
      </c>
      <c r="E14" s="107"/>
      <c r="F14" s="107"/>
      <c r="G14" s="111">
        <v>15</v>
      </c>
      <c r="H14" s="112">
        <v>44713</v>
      </c>
      <c r="I14" s="92" t="s">
        <v>295</v>
      </c>
      <c r="J14" s="111"/>
      <c r="K14" s="113">
        <f>88.09*15</f>
        <v>1321.3500000000001</v>
      </c>
      <c r="L14" s="114">
        <f>3114.72*7</f>
        <v>21803.039999999997</v>
      </c>
      <c r="M14" s="114">
        <f>3602.11*15</f>
        <v>54031.65</v>
      </c>
      <c r="N14" s="114">
        <v>9500</v>
      </c>
      <c r="O14" s="115">
        <f t="shared" si="1"/>
        <v>86656.04</v>
      </c>
      <c r="P14" s="116"/>
      <c r="Q14" s="122"/>
      <c r="R14" s="124" t="s">
        <v>27</v>
      </c>
      <c r="S14" s="118" t="s">
        <v>226</v>
      </c>
      <c r="T14" s="121" t="s">
        <v>283</v>
      </c>
    </row>
    <row r="15" spans="1:20" s="96" customFormat="1" ht="56.25" x14ac:dyDescent="0.2">
      <c r="A15" s="107">
        <v>13</v>
      </c>
      <c r="B15" s="121" t="s">
        <v>261</v>
      </c>
      <c r="C15" s="118" t="s">
        <v>47</v>
      </c>
      <c r="D15" s="110" t="s">
        <v>103</v>
      </c>
      <c r="E15" s="107"/>
      <c r="F15" s="107"/>
      <c r="G15" s="111">
        <v>30</v>
      </c>
      <c r="H15" s="112">
        <v>44424</v>
      </c>
      <c r="I15" s="92" t="s">
        <v>296</v>
      </c>
      <c r="J15" s="111"/>
      <c r="K15" s="113">
        <v>3645.32</v>
      </c>
      <c r="L15" s="114">
        <f>3114.72*28+1442*28</f>
        <v>127588.15999999999</v>
      </c>
      <c r="M15" s="114">
        <f>3602.11*30</f>
        <v>108063.3</v>
      </c>
      <c r="N15" s="114">
        <v>16435.04</v>
      </c>
      <c r="O15" s="115">
        <f t="shared" si="1"/>
        <v>255731.81999999998</v>
      </c>
      <c r="P15" s="116"/>
      <c r="Q15" s="122"/>
      <c r="R15" s="124" t="s">
        <v>27</v>
      </c>
      <c r="S15" s="118" t="s">
        <v>225</v>
      </c>
      <c r="T15" s="121" t="s">
        <v>299</v>
      </c>
    </row>
    <row r="16" spans="1:20" s="96" customFormat="1" ht="56.25" x14ac:dyDescent="0.2">
      <c r="A16" s="107">
        <v>14</v>
      </c>
      <c r="B16" s="121" t="s">
        <v>262</v>
      </c>
      <c r="C16" s="118" t="s">
        <v>47</v>
      </c>
      <c r="D16" s="110" t="s">
        <v>104</v>
      </c>
      <c r="E16" s="107"/>
      <c r="F16" s="107"/>
      <c r="G16" s="111">
        <v>12</v>
      </c>
      <c r="H16" s="112">
        <v>44424</v>
      </c>
      <c r="I16" s="92" t="s">
        <v>296</v>
      </c>
      <c r="J16" s="111"/>
      <c r="K16" s="113">
        <v>1301.9000000000001</v>
      </c>
      <c r="L16" s="114">
        <f>3114.72*10+1442*10</f>
        <v>45567.199999999997</v>
      </c>
      <c r="M16" s="114">
        <f>3602.11*12</f>
        <v>43225.32</v>
      </c>
      <c r="N16" s="114">
        <v>13671.02</v>
      </c>
      <c r="O16" s="115">
        <f t="shared" si="1"/>
        <v>103765.44</v>
      </c>
      <c r="P16" s="116"/>
      <c r="Q16" s="122"/>
      <c r="R16" s="124" t="s">
        <v>27</v>
      </c>
      <c r="S16" s="118" t="s">
        <v>225</v>
      </c>
      <c r="T16" s="121" t="s">
        <v>299</v>
      </c>
    </row>
    <row r="17" spans="1:20" s="96" customFormat="1" ht="101.25" x14ac:dyDescent="0.2">
      <c r="A17" s="107">
        <v>15</v>
      </c>
      <c r="B17" s="121" t="s">
        <v>141</v>
      </c>
      <c r="C17" s="118" t="s">
        <v>47</v>
      </c>
      <c r="D17" s="110" t="s">
        <v>249</v>
      </c>
      <c r="E17" s="107"/>
      <c r="F17" s="107"/>
      <c r="G17" s="111">
        <v>0</v>
      </c>
      <c r="H17" s="112">
        <v>43863</v>
      </c>
      <c r="I17" s="92" t="s">
        <v>332</v>
      </c>
      <c r="J17" s="111"/>
      <c r="K17" s="113">
        <f>520.77*10</f>
        <v>5207.7</v>
      </c>
      <c r="L17" s="114" t="s">
        <v>13</v>
      </c>
      <c r="M17" s="114" t="s">
        <v>13</v>
      </c>
      <c r="N17" s="114">
        <v>26429</v>
      </c>
      <c r="O17" s="115">
        <f t="shared" si="1"/>
        <v>31636.7</v>
      </c>
      <c r="P17" s="116"/>
      <c r="Q17" s="122"/>
      <c r="R17" s="124" t="s">
        <v>27</v>
      </c>
      <c r="S17" s="118" t="s">
        <v>228</v>
      </c>
      <c r="T17" s="121" t="s">
        <v>298</v>
      </c>
    </row>
    <row r="18" spans="1:20" s="96" customFormat="1" ht="38.25" x14ac:dyDescent="0.2">
      <c r="A18" s="107">
        <v>16</v>
      </c>
      <c r="B18" s="108" t="s">
        <v>93</v>
      </c>
      <c r="C18" s="118" t="s">
        <v>47</v>
      </c>
      <c r="D18" s="110" t="s">
        <v>97</v>
      </c>
      <c r="E18" s="107"/>
      <c r="F18" s="107"/>
      <c r="G18" s="111">
        <v>0</v>
      </c>
      <c r="H18" s="112">
        <v>44860</v>
      </c>
      <c r="I18" s="91" t="s">
        <v>294</v>
      </c>
      <c r="J18" s="111"/>
      <c r="K18" s="114" t="s">
        <v>13</v>
      </c>
      <c r="L18" s="114" t="s">
        <v>13</v>
      </c>
      <c r="M18" s="114" t="s">
        <v>13</v>
      </c>
      <c r="N18" s="114">
        <v>2865.01</v>
      </c>
      <c r="O18" s="115">
        <f t="shared" si="1"/>
        <v>2865.01</v>
      </c>
      <c r="P18" s="116"/>
      <c r="Q18" s="122"/>
      <c r="R18" s="124" t="s">
        <v>27</v>
      </c>
      <c r="S18" s="118" t="s">
        <v>220</v>
      </c>
      <c r="T18" s="121" t="s">
        <v>300</v>
      </c>
    </row>
    <row r="19" spans="1:20" s="96" customFormat="1" ht="38.25" x14ac:dyDescent="0.2">
      <c r="A19" s="107">
        <v>17</v>
      </c>
      <c r="B19" s="108" t="s">
        <v>67</v>
      </c>
      <c r="C19" s="118" t="s">
        <v>47</v>
      </c>
      <c r="D19" s="110" t="s">
        <v>95</v>
      </c>
      <c r="E19" s="107"/>
      <c r="F19" s="107"/>
      <c r="G19" s="111">
        <v>0</v>
      </c>
      <c r="H19" s="112">
        <v>44859</v>
      </c>
      <c r="I19" s="110" t="s">
        <v>327</v>
      </c>
      <c r="J19" s="111"/>
      <c r="K19" s="114" t="s">
        <v>13</v>
      </c>
      <c r="L19" s="114" t="s">
        <v>13</v>
      </c>
      <c r="M19" s="114" t="s">
        <v>13</v>
      </c>
      <c r="N19" s="114">
        <v>4741.96</v>
      </c>
      <c r="O19" s="115">
        <f t="shared" si="1"/>
        <v>4741.96</v>
      </c>
      <c r="P19" s="116"/>
      <c r="Q19" s="122"/>
      <c r="R19" s="124" t="s">
        <v>27</v>
      </c>
      <c r="S19" s="118" t="s">
        <v>212</v>
      </c>
      <c r="T19" s="121" t="s">
        <v>301</v>
      </c>
    </row>
    <row r="20" spans="1:20" s="96" customFormat="1" ht="38.25" x14ac:dyDescent="0.2">
      <c r="A20" s="107">
        <v>18</v>
      </c>
      <c r="B20" s="108" t="s">
        <v>77</v>
      </c>
      <c r="C20" s="118" t="s">
        <v>47</v>
      </c>
      <c r="D20" s="110" t="s">
        <v>86</v>
      </c>
      <c r="E20" s="107"/>
      <c r="F20" s="107"/>
      <c r="G20" s="111">
        <v>3</v>
      </c>
      <c r="H20" s="112">
        <v>44844</v>
      </c>
      <c r="I20" s="110" t="s">
        <v>327</v>
      </c>
      <c r="J20" s="111"/>
      <c r="K20" s="113">
        <v>493.3</v>
      </c>
      <c r="L20" s="114" t="s">
        <v>13</v>
      </c>
      <c r="M20" s="114">
        <f>3422*3</f>
        <v>10266</v>
      </c>
      <c r="N20" s="114">
        <v>3780.68</v>
      </c>
      <c r="O20" s="115">
        <f t="shared" si="1"/>
        <v>14539.98</v>
      </c>
      <c r="P20" s="116"/>
      <c r="Q20" s="122"/>
      <c r="R20" s="124" t="s">
        <v>27</v>
      </c>
      <c r="S20" s="118" t="s">
        <v>198</v>
      </c>
      <c r="T20" s="125" t="s">
        <v>302</v>
      </c>
    </row>
    <row r="21" spans="1:20" s="96" customFormat="1" ht="38.25" x14ac:dyDescent="0.2">
      <c r="A21" s="107">
        <v>19</v>
      </c>
      <c r="B21" s="108" t="s">
        <v>23</v>
      </c>
      <c r="C21" s="118" t="s">
        <v>47</v>
      </c>
      <c r="D21" s="110" t="s">
        <v>25</v>
      </c>
      <c r="E21" s="107"/>
      <c r="F21" s="107"/>
      <c r="G21" s="111">
        <v>0</v>
      </c>
      <c r="H21" s="112">
        <v>44853</v>
      </c>
      <c r="I21" s="110" t="s">
        <v>327</v>
      </c>
      <c r="J21" s="111"/>
      <c r="K21" s="113" t="s">
        <v>13</v>
      </c>
      <c r="L21" s="114" t="s">
        <v>13</v>
      </c>
      <c r="M21" s="114" t="s">
        <v>24</v>
      </c>
      <c r="N21" s="114">
        <v>23465.09</v>
      </c>
      <c r="O21" s="115">
        <f t="shared" si="1"/>
        <v>23465.09</v>
      </c>
      <c r="P21" s="116"/>
      <c r="Q21" s="122"/>
      <c r="R21" s="124" t="s">
        <v>27</v>
      </c>
      <c r="S21" s="118" t="s">
        <v>203</v>
      </c>
      <c r="T21" s="125" t="s">
        <v>303</v>
      </c>
    </row>
    <row r="22" spans="1:20" s="96" customFormat="1" ht="38.25" x14ac:dyDescent="0.2">
      <c r="A22" s="107">
        <v>20</v>
      </c>
      <c r="B22" s="108" t="s">
        <v>26</v>
      </c>
      <c r="C22" s="118" t="s">
        <v>47</v>
      </c>
      <c r="D22" s="110" t="s">
        <v>50</v>
      </c>
      <c r="E22" s="107"/>
      <c r="F22" s="107"/>
      <c r="G22" s="111">
        <v>2</v>
      </c>
      <c r="H22" s="112">
        <v>44813</v>
      </c>
      <c r="I22" s="92" t="s">
        <v>297</v>
      </c>
      <c r="J22" s="111"/>
      <c r="K22" s="114">
        <f>320.37*2</f>
        <v>640.74</v>
      </c>
      <c r="L22" s="114" t="s">
        <v>13</v>
      </c>
      <c r="M22" s="114">
        <f>3422*2</f>
        <v>6844</v>
      </c>
      <c r="N22" s="114">
        <f>12758.43+5510.59</f>
        <v>18269.02</v>
      </c>
      <c r="O22" s="115">
        <f t="shared" si="1"/>
        <v>25753.760000000002</v>
      </c>
      <c r="P22" s="116"/>
      <c r="Q22" s="122"/>
      <c r="R22" s="124" t="s">
        <v>27</v>
      </c>
      <c r="S22" s="118"/>
      <c r="T22" s="121" t="s">
        <v>204</v>
      </c>
    </row>
    <row r="23" spans="1:20" s="96" customFormat="1" ht="38.25" x14ac:dyDescent="0.2">
      <c r="A23" s="107">
        <v>21</v>
      </c>
      <c r="B23" s="108" t="s">
        <v>41</v>
      </c>
      <c r="C23" s="118" t="s">
        <v>47</v>
      </c>
      <c r="D23" s="110" t="s">
        <v>270</v>
      </c>
      <c r="E23" s="107"/>
      <c r="F23" s="107"/>
      <c r="G23" s="111">
        <v>0</v>
      </c>
      <c r="H23" s="112">
        <v>44869</v>
      </c>
      <c r="I23" s="110" t="s">
        <v>327</v>
      </c>
      <c r="J23" s="111"/>
      <c r="K23" s="114" t="s">
        <v>13</v>
      </c>
      <c r="L23" s="114" t="s">
        <v>13</v>
      </c>
      <c r="M23" s="114" t="s">
        <v>13</v>
      </c>
      <c r="N23" s="114">
        <v>10900</v>
      </c>
      <c r="O23" s="115">
        <f t="shared" si="1"/>
        <v>10900</v>
      </c>
      <c r="P23" s="116"/>
      <c r="Q23" s="122"/>
      <c r="R23" s="124" t="s">
        <v>27</v>
      </c>
      <c r="S23" s="118" t="s">
        <v>205</v>
      </c>
      <c r="T23" s="121" t="s">
        <v>309</v>
      </c>
    </row>
    <row r="24" spans="1:20" s="96" customFormat="1" ht="38.25" x14ac:dyDescent="0.2">
      <c r="A24" s="107">
        <v>22</v>
      </c>
      <c r="B24" s="108" t="s">
        <v>42</v>
      </c>
      <c r="C24" s="118" t="s">
        <v>47</v>
      </c>
      <c r="D24" s="110" t="s">
        <v>330</v>
      </c>
      <c r="E24" s="107"/>
      <c r="F24" s="107"/>
      <c r="G24" s="111">
        <v>0</v>
      </c>
      <c r="H24" s="112">
        <v>44839</v>
      </c>
      <c r="I24" s="123" t="s">
        <v>329</v>
      </c>
      <c r="J24" s="111"/>
      <c r="K24" s="114" t="s">
        <v>13</v>
      </c>
      <c r="L24" s="114" t="s">
        <v>13</v>
      </c>
      <c r="M24" s="114" t="s">
        <v>13</v>
      </c>
      <c r="N24" s="114">
        <v>15625</v>
      </c>
      <c r="O24" s="115">
        <f t="shared" si="1"/>
        <v>15625</v>
      </c>
      <c r="P24" s="116"/>
      <c r="Q24" s="122"/>
      <c r="R24" s="124" t="s">
        <v>27</v>
      </c>
      <c r="S24" s="118" t="s">
        <v>206</v>
      </c>
      <c r="T24" s="125" t="s">
        <v>308</v>
      </c>
    </row>
    <row r="25" spans="1:20" s="96" customFormat="1" ht="38.25" x14ac:dyDescent="0.2">
      <c r="A25" s="107">
        <v>23</v>
      </c>
      <c r="B25" s="108" t="s">
        <v>94</v>
      </c>
      <c r="C25" s="118" t="s">
        <v>47</v>
      </c>
      <c r="D25" s="110" t="s">
        <v>98</v>
      </c>
      <c r="E25" s="107"/>
      <c r="F25" s="107"/>
      <c r="G25" s="111">
        <v>0</v>
      </c>
      <c r="H25" s="112">
        <v>44860</v>
      </c>
      <c r="I25" s="110" t="s">
        <v>327</v>
      </c>
      <c r="J25" s="111"/>
      <c r="K25" s="114" t="s">
        <v>13</v>
      </c>
      <c r="L25" s="114" t="s">
        <v>13</v>
      </c>
      <c r="M25" s="114" t="s">
        <v>13</v>
      </c>
      <c r="N25" s="114">
        <v>16480.09</v>
      </c>
      <c r="O25" s="115">
        <f t="shared" si="1"/>
        <v>16480.09</v>
      </c>
      <c r="P25" s="116"/>
      <c r="Q25" s="122"/>
      <c r="R25" s="124" t="s">
        <v>27</v>
      </c>
      <c r="S25" s="118" t="s">
        <v>221</v>
      </c>
      <c r="T25" s="121" t="s">
        <v>317</v>
      </c>
    </row>
    <row r="26" spans="1:20" s="96" customFormat="1" ht="38.25" x14ac:dyDescent="0.2">
      <c r="A26" s="107">
        <v>24</v>
      </c>
      <c r="B26" s="108" t="s">
        <v>92</v>
      </c>
      <c r="C26" s="118" t="s">
        <v>47</v>
      </c>
      <c r="D26" s="110" t="s">
        <v>99</v>
      </c>
      <c r="E26" s="107"/>
      <c r="F26" s="107"/>
      <c r="G26" s="111">
        <v>0</v>
      </c>
      <c r="H26" s="112">
        <v>44860</v>
      </c>
      <c r="I26" s="110" t="s">
        <v>327</v>
      </c>
      <c r="J26" s="111"/>
      <c r="K26" s="114" t="s">
        <v>13</v>
      </c>
      <c r="L26" s="114" t="s">
        <v>13</v>
      </c>
      <c r="M26" s="114" t="s">
        <v>13</v>
      </c>
      <c r="N26" s="114">
        <v>14823.01</v>
      </c>
      <c r="O26" s="115">
        <f t="shared" si="1"/>
        <v>14823.01</v>
      </c>
      <c r="P26" s="116"/>
      <c r="Q26" s="122"/>
      <c r="R26" s="124" t="s">
        <v>27</v>
      </c>
      <c r="S26" s="118" t="s">
        <v>222</v>
      </c>
      <c r="T26" s="121" t="s">
        <v>304</v>
      </c>
    </row>
    <row r="27" spans="1:20" s="96" customFormat="1" ht="38.25" x14ac:dyDescent="0.2">
      <c r="A27" s="107">
        <v>25</v>
      </c>
      <c r="B27" s="108" t="s">
        <v>91</v>
      </c>
      <c r="C27" s="118" t="s">
        <v>47</v>
      </c>
      <c r="D27" s="110" t="s">
        <v>100</v>
      </c>
      <c r="E27" s="107"/>
      <c r="F27" s="107"/>
      <c r="G27" s="111">
        <v>0</v>
      </c>
      <c r="H27" s="112">
        <v>44860</v>
      </c>
      <c r="I27" s="110" t="s">
        <v>327</v>
      </c>
      <c r="J27" s="111"/>
      <c r="K27" s="114" t="s">
        <v>13</v>
      </c>
      <c r="L27" s="114" t="s">
        <v>13</v>
      </c>
      <c r="M27" s="114" t="s">
        <v>13</v>
      </c>
      <c r="N27" s="114">
        <v>13162.46</v>
      </c>
      <c r="O27" s="115">
        <f t="shared" si="1"/>
        <v>13162.46</v>
      </c>
      <c r="P27" s="116"/>
      <c r="Q27" s="122"/>
      <c r="R27" s="124" t="s">
        <v>27</v>
      </c>
      <c r="S27" s="118" t="s">
        <v>223</v>
      </c>
      <c r="T27" s="121" t="s">
        <v>310</v>
      </c>
    </row>
    <row r="28" spans="1:20" s="96" customFormat="1" ht="38.25" x14ac:dyDescent="0.2">
      <c r="A28" s="107">
        <v>26</v>
      </c>
      <c r="B28" s="108" t="s">
        <v>107</v>
      </c>
      <c r="C28" s="118" t="s">
        <v>47</v>
      </c>
      <c r="D28" s="110" t="s">
        <v>114</v>
      </c>
      <c r="E28" s="107"/>
      <c r="F28" s="107"/>
      <c r="G28" s="111">
        <v>2</v>
      </c>
      <c r="H28" s="112">
        <v>44862</v>
      </c>
      <c r="I28" s="110" t="s">
        <v>327</v>
      </c>
      <c r="J28" s="111"/>
      <c r="K28" s="113">
        <f>201.31*2</f>
        <v>402.62</v>
      </c>
      <c r="L28" s="114">
        <f>6384.87*2</f>
        <v>12769.74</v>
      </c>
      <c r="M28" s="114">
        <f>3602.11*2</f>
        <v>7204.22</v>
      </c>
      <c r="N28" s="114">
        <v>5625</v>
      </c>
      <c r="O28" s="115">
        <f t="shared" si="1"/>
        <v>26001.58</v>
      </c>
      <c r="P28" s="116"/>
      <c r="Q28" s="122"/>
      <c r="R28" s="124" t="s">
        <v>27</v>
      </c>
      <c r="S28" s="118" t="s">
        <v>223</v>
      </c>
      <c r="T28" s="121" t="s">
        <v>310</v>
      </c>
    </row>
    <row r="29" spans="1:20" s="96" customFormat="1" x14ac:dyDescent="0.2">
      <c r="A29" s="107">
        <v>27</v>
      </c>
      <c r="B29" s="108" t="s">
        <v>194</v>
      </c>
      <c r="C29" s="118" t="s">
        <v>47</v>
      </c>
      <c r="D29" s="110" t="s">
        <v>195</v>
      </c>
      <c r="E29" s="107"/>
      <c r="F29" s="107"/>
      <c r="G29" s="111">
        <v>0</v>
      </c>
      <c r="H29" s="112">
        <v>44868</v>
      </c>
      <c r="I29" s="110" t="s">
        <v>327</v>
      </c>
      <c r="J29" s="111"/>
      <c r="K29" s="114" t="s">
        <v>13</v>
      </c>
      <c r="L29" s="114" t="s">
        <v>13</v>
      </c>
      <c r="M29" s="114" t="s">
        <v>13</v>
      </c>
      <c r="N29" s="114">
        <v>1199.5</v>
      </c>
      <c r="O29" s="115">
        <f>N29</f>
        <v>1199.5</v>
      </c>
      <c r="P29" s="116"/>
      <c r="Q29" s="122"/>
      <c r="R29" s="118" t="s">
        <v>14</v>
      </c>
      <c r="S29" s="118" t="s">
        <v>203</v>
      </c>
      <c r="T29" s="125" t="s">
        <v>307</v>
      </c>
    </row>
    <row r="30" spans="1:20" s="96" customFormat="1" ht="38.25" x14ac:dyDescent="0.2">
      <c r="A30" s="107">
        <v>28</v>
      </c>
      <c r="B30" s="108" t="s">
        <v>120</v>
      </c>
      <c r="C30" s="118" t="s">
        <v>47</v>
      </c>
      <c r="D30" s="110" t="s">
        <v>245</v>
      </c>
      <c r="E30" s="107"/>
      <c r="F30" s="107"/>
      <c r="G30" s="111">
        <v>55</v>
      </c>
      <c r="H30" s="112">
        <v>44876</v>
      </c>
      <c r="I30" s="110" t="s">
        <v>327</v>
      </c>
      <c r="J30" s="111"/>
      <c r="K30" s="113">
        <f>414.86*55</f>
        <v>22817.3</v>
      </c>
      <c r="L30" s="114" t="s">
        <v>24</v>
      </c>
      <c r="M30" s="114">
        <v>162094.95000000001</v>
      </c>
      <c r="N30" s="114">
        <v>76040.600000000006</v>
      </c>
      <c r="O30" s="115">
        <f>SUM(K30:N30)</f>
        <v>260952.85</v>
      </c>
      <c r="P30" s="116"/>
      <c r="Q30" s="122"/>
      <c r="R30" s="124" t="s">
        <v>27</v>
      </c>
      <c r="S30" s="118" t="s">
        <v>246</v>
      </c>
      <c r="T30" s="125" t="s">
        <v>305</v>
      </c>
    </row>
    <row r="31" spans="1:20" s="96" customFormat="1" ht="22.5" x14ac:dyDescent="0.2">
      <c r="A31" s="107">
        <v>29</v>
      </c>
      <c r="B31" s="108" t="s">
        <v>89</v>
      </c>
      <c r="C31" s="108" t="s">
        <v>47</v>
      </c>
      <c r="D31" s="108" t="s">
        <v>101</v>
      </c>
      <c r="E31" s="107"/>
      <c r="F31" s="107"/>
      <c r="G31" s="111">
        <v>0</v>
      </c>
      <c r="H31" s="112">
        <v>44855</v>
      </c>
      <c r="I31" s="92" t="s">
        <v>293</v>
      </c>
      <c r="J31" s="111"/>
      <c r="K31" s="114" t="s">
        <v>13</v>
      </c>
      <c r="L31" s="114" t="s">
        <v>13</v>
      </c>
      <c r="M31" s="114" t="s">
        <v>13</v>
      </c>
      <c r="N31" s="114">
        <v>25580.09</v>
      </c>
      <c r="O31" s="115">
        <f>SUM(K31:N31)</f>
        <v>25580.09</v>
      </c>
      <c r="P31" s="116"/>
      <c r="Q31" s="122"/>
      <c r="R31" s="118" t="s">
        <v>14</v>
      </c>
      <c r="S31" s="118" t="s">
        <v>211</v>
      </c>
      <c r="T31" s="125" t="s">
        <v>306</v>
      </c>
    </row>
    <row r="32" spans="1:20" s="96" customFormat="1" ht="12.75" customHeight="1" x14ac:dyDescent="0.2">
      <c r="A32" s="107">
        <v>30</v>
      </c>
      <c r="B32" s="108" t="s">
        <v>142</v>
      </c>
      <c r="C32" s="108" t="s">
        <v>47</v>
      </c>
      <c r="D32" s="108" t="s">
        <v>345</v>
      </c>
      <c r="E32" s="107"/>
      <c r="F32" s="107"/>
      <c r="G32" s="111">
        <v>2</v>
      </c>
      <c r="H32" s="112">
        <v>44882</v>
      </c>
      <c r="I32" s="110" t="s">
        <v>327</v>
      </c>
      <c r="J32" s="111"/>
      <c r="K32" s="114" t="s">
        <v>13</v>
      </c>
      <c r="L32" s="114" t="s">
        <v>13</v>
      </c>
      <c r="M32" s="114">
        <v>2204.2199999999998</v>
      </c>
      <c r="N32" s="114">
        <v>469.77</v>
      </c>
      <c r="O32" s="115">
        <f>SUM(M32+N32)</f>
        <v>2673.99</v>
      </c>
      <c r="P32" s="116"/>
      <c r="Q32" s="122"/>
      <c r="R32" s="118" t="s">
        <v>14</v>
      </c>
      <c r="S32" s="118" t="s">
        <v>203</v>
      </c>
      <c r="T32" s="145" t="s">
        <v>360</v>
      </c>
    </row>
    <row r="33" spans="1:20" s="96" customFormat="1" x14ac:dyDescent="0.2">
      <c r="A33" s="107">
        <v>31</v>
      </c>
      <c r="B33" s="108" t="s">
        <v>334</v>
      </c>
      <c r="C33" s="108" t="s">
        <v>47</v>
      </c>
      <c r="D33" s="108" t="s">
        <v>349</v>
      </c>
      <c r="E33" s="107"/>
      <c r="F33" s="107"/>
      <c r="G33" s="111">
        <v>1</v>
      </c>
      <c r="H33" s="112">
        <v>44882</v>
      </c>
      <c r="I33" s="110" t="s">
        <v>327</v>
      </c>
      <c r="J33" s="111"/>
      <c r="K33" s="114" t="s">
        <v>13</v>
      </c>
      <c r="L33" s="114" t="s">
        <v>13</v>
      </c>
      <c r="M33" s="114">
        <v>3602.11</v>
      </c>
      <c r="N33" s="114">
        <v>648.34</v>
      </c>
      <c r="O33" s="115">
        <f>M33+N33</f>
        <v>4250.45</v>
      </c>
      <c r="P33" s="116"/>
      <c r="Q33" s="122"/>
      <c r="R33" s="118" t="s">
        <v>14</v>
      </c>
      <c r="S33" s="118" t="s">
        <v>352</v>
      </c>
      <c r="T33" s="145" t="s">
        <v>360</v>
      </c>
    </row>
    <row r="34" spans="1:20" s="96" customFormat="1" x14ac:dyDescent="0.2">
      <c r="A34" s="107">
        <v>32</v>
      </c>
      <c r="B34" s="146" t="s">
        <v>337</v>
      </c>
      <c r="C34" s="146" t="s">
        <v>47</v>
      </c>
      <c r="D34" s="146" t="s">
        <v>340</v>
      </c>
      <c r="E34" s="107"/>
      <c r="F34" s="107"/>
      <c r="G34" s="111">
        <v>0</v>
      </c>
      <c r="H34" s="112">
        <v>44883</v>
      </c>
      <c r="I34" s="110" t="s">
        <v>327</v>
      </c>
      <c r="J34" s="111"/>
      <c r="K34" s="114"/>
      <c r="L34" s="114" t="s">
        <v>13</v>
      </c>
      <c r="M34" s="114" t="s">
        <v>13</v>
      </c>
      <c r="N34" s="114" t="s">
        <v>13</v>
      </c>
      <c r="O34" s="115">
        <f t="shared" ref="O34:O42" si="2">K34</f>
        <v>0</v>
      </c>
      <c r="P34" s="116"/>
      <c r="Q34" s="122"/>
      <c r="R34" s="118" t="s">
        <v>20</v>
      </c>
      <c r="S34" s="118" t="s">
        <v>350</v>
      </c>
      <c r="T34" s="145" t="s">
        <v>358</v>
      </c>
    </row>
    <row r="35" spans="1:20" s="96" customFormat="1" x14ac:dyDescent="0.2">
      <c r="A35" s="107">
        <v>33</v>
      </c>
      <c r="B35" s="146" t="s">
        <v>338</v>
      </c>
      <c r="C35" s="146" t="s">
        <v>47</v>
      </c>
      <c r="D35" s="146" t="s">
        <v>341</v>
      </c>
      <c r="E35" s="107"/>
      <c r="F35" s="107"/>
      <c r="G35" s="111">
        <v>0</v>
      </c>
      <c r="H35" s="112">
        <v>44883</v>
      </c>
      <c r="I35" s="110" t="s">
        <v>327</v>
      </c>
      <c r="J35" s="111"/>
      <c r="K35" s="114"/>
      <c r="L35" s="114" t="s">
        <v>13</v>
      </c>
      <c r="M35" s="114" t="s">
        <v>13</v>
      </c>
      <c r="N35" s="114" t="s">
        <v>13</v>
      </c>
      <c r="O35" s="115">
        <f t="shared" si="2"/>
        <v>0</v>
      </c>
      <c r="P35" s="116"/>
      <c r="Q35" s="122"/>
      <c r="R35" s="118" t="s">
        <v>20</v>
      </c>
      <c r="S35" s="118" t="s">
        <v>350</v>
      </c>
      <c r="T35" s="145" t="s">
        <v>358</v>
      </c>
    </row>
    <row r="36" spans="1:20" s="96" customFormat="1" x14ac:dyDescent="0.2">
      <c r="A36" s="107">
        <v>34</v>
      </c>
      <c r="B36" s="146" t="s">
        <v>339</v>
      </c>
      <c r="C36" s="146" t="s">
        <v>47</v>
      </c>
      <c r="D36" s="146" t="s">
        <v>342</v>
      </c>
      <c r="E36" s="107"/>
      <c r="F36" s="107"/>
      <c r="G36" s="111">
        <v>0</v>
      </c>
      <c r="H36" s="112">
        <v>44883</v>
      </c>
      <c r="I36" s="110" t="s">
        <v>327</v>
      </c>
      <c r="J36" s="111"/>
      <c r="K36" s="114"/>
      <c r="L36" s="114" t="s">
        <v>13</v>
      </c>
      <c r="M36" s="114" t="s">
        <v>13</v>
      </c>
      <c r="N36" s="114" t="s">
        <v>13</v>
      </c>
      <c r="O36" s="115">
        <f t="shared" si="2"/>
        <v>0</v>
      </c>
      <c r="P36" s="116"/>
      <c r="Q36" s="122"/>
      <c r="R36" s="118" t="s">
        <v>20</v>
      </c>
      <c r="S36" s="118" t="s">
        <v>350</v>
      </c>
      <c r="T36" s="145" t="s">
        <v>358</v>
      </c>
    </row>
    <row r="37" spans="1:20" s="96" customFormat="1" x14ac:dyDescent="0.2">
      <c r="A37" s="107">
        <v>35</v>
      </c>
      <c r="B37" s="146" t="s">
        <v>333</v>
      </c>
      <c r="C37" s="146" t="s">
        <v>47</v>
      </c>
      <c r="D37" s="146" t="s">
        <v>343</v>
      </c>
      <c r="E37" s="107"/>
      <c r="F37" s="107"/>
      <c r="G37" s="111">
        <v>0</v>
      </c>
      <c r="H37" s="112">
        <v>44881</v>
      </c>
      <c r="I37" s="110" t="s">
        <v>327</v>
      </c>
      <c r="J37" s="111"/>
      <c r="K37" s="114"/>
      <c r="L37" s="114" t="s">
        <v>13</v>
      </c>
      <c r="M37" s="114" t="s">
        <v>13</v>
      </c>
      <c r="N37" s="114" t="s">
        <v>13</v>
      </c>
      <c r="O37" s="115">
        <f t="shared" si="2"/>
        <v>0</v>
      </c>
      <c r="P37" s="116"/>
      <c r="Q37" s="122"/>
      <c r="R37" s="118" t="s">
        <v>20</v>
      </c>
      <c r="S37" s="118" t="s">
        <v>351</v>
      </c>
      <c r="T37" s="145" t="s">
        <v>359</v>
      </c>
    </row>
    <row r="38" spans="1:20" s="96" customFormat="1" x14ac:dyDescent="0.2">
      <c r="A38" s="107">
        <v>36</v>
      </c>
      <c r="B38" s="146" t="s">
        <v>145</v>
      </c>
      <c r="C38" s="146" t="s">
        <v>47</v>
      </c>
      <c r="D38" s="146" t="s">
        <v>344</v>
      </c>
      <c r="E38" s="107"/>
      <c r="F38" s="107"/>
      <c r="G38" s="111">
        <v>0</v>
      </c>
      <c r="H38" s="112">
        <v>44882</v>
      </c>
      <c r="I38" s="110" t="s">
        <v>327</v>
      </c>
      <c r="J38" s="111"/>
      <c r="K38" s="114"/>
      <c r="L38" s="114" t="s">
        <v>13</v>
      </c>
      <c r="M38" s="114" t="s">
        <v>13</v>
      </c>
      <c r="N38" s="114" t="s">
        <v>13</v>
      </c>
      <c r="O38" s="115">
        <f t="shared" si="2"/>
        <v>0</v>
      </c>
      <c r="P38" s="116"/>
      <c r="Q38" s="122"/>
      <c r="R38" s="118" t="s">
        <v>20</v>
      </c>
      <c r="S38" s="118" t="s">
        <v>353</v>
      </c>
      <c r="T38" s="145" t="s">
        <v>360</v>
      </c>
    </row>
    <row r="39" spans="1:20" s="96" customFormat="1" x14ac:dyDescent="0.2">
      <c r="A39" s="107">
        <v>37</v>
      </c>
      <c r="B39" s="146" t="s">
        <v>336</v>
      </c>
      <c r="C39" s="146" t="s">
        <v>47</v>
      </c>
      <c r="D39" s="146" t="s">
        <v>346</v>
      </c>
      <c r="E39" s="107"/>
      <c r="F39" s="107"/>
      <c r="G39" s="111">
        <v>0</v>
      </c>
      <c r="H39" s="112">
        <v>44881</v>
      </c>
      <c r="I39" s="110" t="s">
        <v>327</v>
      </c>
      <c r="J39" s="111"/>
      <c r="K39" s="114"/>
      <c r="L39" s="114" t="s">
        <v>13</v>
      </c>
      <c r="M39" s="114" t="s">
        <v>13</v>
      </c>
      <c r="N39" s="114" t="s">
        <v>13</v>
      </c>
      <c r="O39" s="115">
        <f t="shared" si="2"/>
        <v>0</v>
      </c>
      <c r="P39" s="116"/>
      <c r="Q39" s="122"/>
      <c r="R39" s="118" t="s">
        <v>20</v>
      </c>
      <c r="S39" s="118" t="s">
        <v>354</v>
      </c>
      <c r="T39" s="145" t="s">
        <v>359</v>
      </c>
    </row>
    <row r="40" spans="1:20" s="96" customFormat="1" x14ac:dyDescent="0.2">
      <c r="A40" s="107">
        <v>38</v>
      </c>
      <c r="B40" s="146" t="s">
        <v>347</v>
      </c>
      <c r="C40" s="146" t="s">
        <v>47</v>
      </c>
      <c r="D40" s="146" t="s">
        <v>362</v>
      </c>
      <c r="E40" s="107"/>
      <c r="F40" s="107"/>
      <c r="G40" s="111">
        <v>0</v>
      </c>
      <c r="H40" s="112">
        <v>44882</v>
      </c>
      <c r="I40" s="110" t="s">
        <v>327</v>
      </c>
      <c r="J40" s="111"/>
      <c r="K40" s="114"/>
      <c r="L40" s="114" t="s">
        <v>13</v>
      </c>
      <c r="M40" s="114" t="s">
        <v>13</v>
      </c>
      <c r="N40" s="114" t="s">
        <v>13</v>
      </c>
      <c r="O40" s="115">
        <f t="shared" si="2"/>
        <v>0</v>
      </c>
      <c r="P40" s="116"/>
      <c r="Q40" s="122"/>
      <c r="R40" s="118" t="s">
        <v>20</v>
      </c>
      <c r="S40" s="118" t="s">
        <v>355</v>
      </c>
      <c r="T40" s="145" t="s">
        <v>360</v>
      </c>
    </row>
    <row r="41" spans="1:20" s="96" customFormat="1" x14ac:dyDescent="0.2">
      <c r="A41" s="107">
        <v>39</v>
      </c>
      <c r="B41" s="146" t="s">
        <v>335</v>
      </c>
      <c r="C41" s="146" t="s">
        <v>47</v>
      </c>
      <c r="D41" s="146" t="s">
        <v>363</v>
      </c>
      <c r="E41" s="107"/>
      <c r="F41" s="107"/>
      <c r="G41" s="111">
        <v>0</v>
      </c>
      <c r="H41" s="112">
        <v>44882</v>
      </c>
      <c r="I41" s="110" t="s">
        <v>327</v>
      </c>
      <c r="J41" s="111"/>
      <c r="K41" s="114"/>
      <c r="L41" s="114" t="s">
        <v>13</v>
      </c>
      <c r="M41" s="114" t="s">
        <v>13</v>
      </c>
      <c r="N41" s="114" t="s">
        <v>13</v>
      </c>
      <c r="O41" s="115">
        <f t="shared" si="2"/>
        <v>0</v>
      </c>
      <c r="P41" s="116"/>
      <c r="Q41" s="122"/>
      <c r="R41" s="118" t="s">
        <v>20</v>
      </c>
      <c r="S41" s="118" t="s">
        <v>357</v>
      </c>
      <c r="T41" s="145" t="s">
        <v>360</v>
      </c>
    </row>
    <row r="42" spans="1:20" s="96" customFormat="1" x14ac:dyDescent="0.2">
      <c r="A42" s="107">
        <v>40</v>
      </c>
      <c r="B42" s="146" t="s">
        <v>348</v>
      </c>
      <c r="C42" s="146" t="s">
        <v>47</v>
      </c>
      <c r="D42" s="146" t="s">
        <v>364</v>
      </c>
      <c r="E42" s="143"/>
      <c r="F42" s="107"/>
      <c r="G42" s="111">
        <v>0</v>
      </c>
      <c r="H42" s="112">
        <v>44879</v>
      </c>
      <c r="I42" s="110" t="s">
        <v>327</v>
      </c>
      <c r="J42" s="111"/>
      <c r="K42" s="114"/>
      <c r="L42" s="114" t="s">
        <v>13</v>
      </c>
      <c r="M42" s="114" t="s">
        <v>13</v>
      </c>
      <c r="N42" s="114" t="s">
        <v>13</v>
      </c>
      <c r="O42" s="115">
        <f t="shared" si="2"/>
        <v>0</v>
      </c>
      <c r="P42" s="116"/>
      <c r="Q42" s="122"/>
      <c r="R42" s="118" t="s">
        <v>20</v>
      </c>
      <c r="S42" s="118" t="s">
        <v>356</v>
      </c>
      <c r="T42" s="145" t="s">
        <v>361</v>
      </c>
    </row>
    <row r="43" spans="1:20" s="96" customFormat="1" ht="38.25" x14ac:dyDescent="0.2">
      <c r="A43" s="107">
        <v>41</v>
      </c>
      <c r="B43" s="108" t="s">
        <v>34</v>
      </c>
      <c r="C43" s="118" t="s">
        <v>82</v>
      </c>
      <c r="D43" s="110" t="s">
        <v>87</v>
      </c>
      <c r="E43" s="107"/>
      <c r="F43" s="107"/>
      <c r="G43" s="111">
        <v>13</v>
      </c>
      <c r="H43" s="111" t="s">
        <v>327</v>
      </c>
      <c r="I43" s="110" t="s">
        <v>327</v>
      </c>
      <c r="J43" s="111"/>
      <c r="K43" s="113">
        <v>4627.6099999999997</v>
      </c>
      <c r="L43" s="114" t="s">
        <v>13</v>
      </c>
      <c r="M43" s="114">
        <f>3602.11*13</f>
        <v>46827.43</v>
      </c>
      <c r="N43" s="114">
        <v>17783.36</v>
      </c>
      <c r="O43" s="115">
        <f>SUM(K43:N43)</f>
        <v>69238.399999999994</v>
      </c>
      <c r="P43" s="116"/>
      <c r="Q43" s="122"/>
      <c r="R43" s="124" t="s">
        <v>27</v>
      </c>
      <c r="S43" s="118" t="s">
        <v>210</v>
      </c>
      <c r="T43" s="121" t="s">
        <v>233</v>
      </c>
    </row>
    <row r="44" spans="1:20" s="96" customFormat="1" x14ac:dyDescent="0.2">
      <c r="A44" s="107">
        <v>42</v>
      </c>
      <c r="B44" s="121" t="s">
        <v>105</v>
      </c>
      <c r="C44" s="118" t="s">
        <v>82</v>
      </c>
      <c r="D44" s="110" t="s">
        <v>111</v>
      </c>
      <c r="E44" s="107"/>
      <c r="F44" s="107"/>
      <c r="G44" s="111">
        <v>0</v>
      </c>
      <c r="H44" s="111" t="s">
        <v>327</v>
      </c>
      <c r="I44" s="110" t="s">
        <v>327</v>
      </c>
      <c r="J44" s="111"/>
      <c r="K44" s="114" t="s">
        <v>13</v>
      </c>
      <c r="L44" s="114" t="s">
        <v>13</v>
      </c>
      <c r="M44" s="114" t="s">
        <v>13</v>
      </c>
      <c r="N44" s="114" t="s">
        <v>13</v>
      </c>
      <c r="O44" s="115"/>
      <c r="P44" s="116"/>
      <c r="Q44" s="122"/>
      <c r="R44" s="124"/>
      <c r="S44" s="118" t="s">
        <v>247</v>
      </c>
      <c r="T44" s="121" t="s">
        <v>314</v>
      </c>
    </row>
    <row r="45" spans="1:20" s="96" customFormat="1" ht="25.5" x14ac:dyDescent="0.2">
      <c r="A45" s="107">
        <v>43</v>
      </c>
      <c r="B45" s="121" t="s">
        <v>106</v>
      </c>
      <c r="C45" s="118" t="s">
        <v>82</v>
      </c>
      <c r="D45" s="110" t="s">
        <v>110</v>
      </c>
      <c r="E45" s="107"/>
      <c r="F45" s="107"/>
      <c r="G45" s="111">
        <v>0</v>
      </c>
      <c r="H45" s="111" t="s">
        <v>327</v>
      </c>
      <c r="I45" s="110" t="s">
        <v>327</v>
      </c>
      <c r="J45" s="111"/>
      <c r="K45" s="114" t="s">
        <v>13</v>
      </c>
      <c r="L45" s="114" t="s">
        <v>13</v>
      </c>
      <c r="M45" s="114" t="s">
        <v>13</v>
      </c>
      <c r="N45" s="114" t="s">
        <v>13</v>
      </c>
      <c r="O45" s="115"/>
      <c r="P45" s="116"/>
      <c r="Q45" s="122"/>
      <c r="R45" s="124"/>
      <c r="S45" s="118" t="s">
        <v>248</v>
      </c>
      <c r="T45" s="125" t="s">
        <v>312</v>
      </c>
    </row>
    <row r="46" spans="1:20" s="96" customFormat="1" ht="25.5" x14ac:dyDescent="0.2">
      <c r="A46" s="107">
        <v>44</v>
      </c>
      <c r="B46" s="121" t="s">
        <v>135</v>
      </c>
      <c r="C46" s="118" t="s">
        <v>82</v>
      </c>
      <c r="D46" s="110" t="s">
        <v>111</v>
      </c>
      <c r="E46" s="107"/>
      <c r="F46" s="107"/>
      <c r="G46" s="111">
        <v>0</v>
      </c>
      <c r="H46" s="111" t="s">
        <v>327</v>
      </c>
      <c r="I46" s="110" t="s">
        <v>327</v>
      </c>
      <c r="J46" s="111"/>
      <c r="K46" s="114" t="s">
        <v>13</v>
      </c>
      <c r="L46" s="114" t="s">
        <v>13</v>
      </c>
      <c r="M46" s="114" t="s">
        <v>13</v>
      </c>
      <c r="N46" s="114" t="s">
        <v>13</v>
      </c>
      <c r="O46" s="115"/>
      <c r="P46" s="116"/>
      <c r="Q46" s="122"/>
      <c r="R46" s="124"/>
      <c r="S46" s="118" t="s">
        <v>235</v>
      </c>
      <c r="T46" s="125" t="s">
        <v>313</v>
      </c>
    </row>
    <row r="47" spans="1:20" s="96" customFormat="1" ht="25.5" x14ac:dyDescent="0.2">
      <c r="A47" s="107">
        <v>45</v>
      </c>
      <c r="B47" s="121" t="s">
        <v>260</v>
      </c>
      <c r="C47" s="118" t="s">
        <v>82</v>
      </c>
      <c r="D47" s="110" t="s">
        <v>111</v>
      </c>
      <c r="E47" s="107"/>
      <c r="F47" s="107"/>
      <c r="G47" s="111">
        <v>0</v>
      </c>
      <c r="H47" s="111" t="s">
        <v>327</v>
      </c>
      <c r="I47" s="110" t="s">
        <v>327</v>
      </c>
      <c r="J47" s="111"/>
      <c r="K47" s="114" t="s">
        <v>13</v>
      </c>
      <c r="L47" s="114" t="s">
        <v>13</v>
      </c>
      <c r="M47" s="114" t="s">
        <v>13</v>
      </c>
      <c r="N47" s="114" t="s">
        <v>13</v>
      </c>
      <c r="O47" s="115"/>
      <c r="P47" s="116"/>
      <c r="Q47" s="122"/>
      <c r="R47" s="124"/>
      <c r="S47" s="118" t="s">
        <v>256</v>
      </c>
      <c r="T47" s="125" t="s">
        <v>311</v>
      </c>
    </row>
    <row r="48" spans="1:20" s="96" customFormat="1" x14ac:dyDescent="0.2">
      <c r="A48" s="107">
        <v>46</v>
      </c>
      <c r="B48" s="121" t="s">
        <v>241</v>
      </c>
      <c r="C48" s="118" t="s">
        <v>82</v>
      </c>
      <c r="D48" s="110" t="s">
        <v>111</v>
      </c>
      <c r="E48" s="107"/>
      <c r="F48" s="107"/>
      <c r="G48" s="111">
        <v>0</v>
      </c>
      <c r="H48" s="111" t="s">
        <v>327</v>
      </c>
      <c r="I48" s="110" t="s">
        <v>327</v>
      </c>
      <c r="J48" s="111"/>
      <c r="K48" s="114" t="s">
        <v>13</v>
      </c>
      <c r="L48" s="114" t="s">
        <v>13</v>
      </c>
      <c r="M48" s="114" t="s">
        <v>13</v>
      </c>
      <c r="N48" s="114" t="s">
        <v>13</v>
      </c>
      <c r="O48" s="115"/>
      <c r="P48" s="116"/>
      <c r="Q48" s="126"/>
      <c r="R48" s="124"/>
      <c r="S48" s="118" t="s">
        <v>243</v>
      </c>
      <c r="T48" s="121" t="s">
        <v>316</v>
      </c>
    </row>
    <row r="49" spans="1:20" s="96" customFormat="1" x14ac:dyDescent="0.2">
      <c r="A49" s="107">
        <v>47</v>
      </c>
      <c r="B49" s="121" t="s">
        <v>242</v>
      </c>
      <c r="C49" s="118" t="s">
        <v>82</v>
      </c>
      <c r="D49" s="110" t="s">
        <v>111</v>
      </c>
      <c r="E49" s="107"/>
      <c r="F49" s="107"/>
      <c r="G49" s="111">
        <v>0</v>
      </c>
      <c r="H49" s="111" t="s">
        <v>327</v>
      </c>
      <c r="I49" s="110" t="s">
        <v>327</v>
      </c>
      <c r="J49" s="111"/>
      <c r="K49" s="114" t="s">
        <v>13</v>
      </c>
      <c r="L49" s="114" t="s">
        <v>13</v>
      </c>
      <c r="M49" s="114" t="s">
        <v>13</v>
      </c>
      <c r="N49" s="114" t="s">
        <v>13</v>
      </c>
      <c r="O49" s="115"/>
      <c r="P49" s="116"/>
      <c r="Q49" s="126"/>
      <c r="R49" s="124"/>
      <c r="S49" s="118" t="s">
        <v>244</v>
      </c>
      <c r="T49" s="121" t="s">
        <v>315</v>
      </c>
    </row>
    <row r="50" spans="1:20" ht="13.5" thickBot="1" x14ac:dyDescent="0.25">
      <c r="G50" s="127">
        <f>SUM(G3:G49)</f>
        <v>141</v>
      </c>
      <c r="K50" s="128">
        <f t="shared" ref="K50:P50" si="3">SUM(K3:K49)</f>
        <v>44097.53</v>
      </c>
      <c r="L50" s="128">
        <f t="shared" si="3"/>
        <v>252228.26999999996</v>
      </c>
      <c r="M50" s="128">
        <f t="shared" si="3"/>
        <v>465975.85999999993</v>
      </c>
      <c r="N50" s="128">
        <f t="shared" si="3"/>
        <v>330967.89</v>
      </c>
      <c r="O50" s="129">
        <f>SUM(O3:O49)</f>
        <v>1093269.5499999996</v>
      </c>
      <c r="P50" s="130">
        <f>SUM(P3:P49)</f>
        <v>57131.47</v>
      </c>
      <c r="Q50" s="131"/>
      <c r="R50" s="121"/>
      <c r="S50" s="132"/>
      <c r="T50" s="132"/>
    </row>
    <row r="52" spans="1:20" x14ac:dyDescent="0.2">
      <c r="B52" s="133" t="s">
        <v>278</v>
      </c>
    </row>
    <row r="53" spans="1:20" x14ac:dyDescent="0.2">
      <c r="B53" s="133" t="s">
        <v>62</v>
      </c>
    </row>
    <row r="54" spans="1:20" x14ac:dyDescent="0.2">
      <c r="B54" s="133" t="s">
        <v>279</v>
      </c>
      <c r="G54" s="134" t="s">
        <v>263</v>
      </c>
      <c r="H54" s="135">
        <f>O13+O11+O12+O14</f>
        <v>155454.65999999997</v>
      </c>
      <c r="I54" s="136"/>
      <c r="J54" s="137"/>
      <c r="K54" s="138">
        <v>44440</v>
      </c>
    </row>
    <row r="55" spans="1:20" x14ac:dyDescent="0.2">
      <c r="B55" s="133" t="s">
        <v>61</v>
      </c>
      <c r="G55" s="94"/>
      <c r="H55" s="94"/>
    </row>
    <row r="56" spans="1:20" x14ac:dyDescent="0.2">
      <c r="G56" s="134" t="s">
        <v>264</v>
      </c>
      <c r="H56" s="139">
        <f>O15+O16+O17</f>
        <v>391133.96</v>
      </c>
      <c r="I56" s="140"/>
      <c r="J56" s="141"/>
      <c r="K56" s="138">
        <v>44470</v>
      </c>
    </row>
    <row r="57" spans="1:20" x14ac:dyDescent="0.2">
      <c r="K57" s="138">
        <v>44501</v>
      </c>
    </row>
    <row r="58" spans="1:20" x14ac:dyDescent="0.2">
      <c r="E58" s="151"/>
      <c r="F58" s="151"/>
      <c r="K58" s="138">
        <v>44531</v>
      </c>
    </row>
    <row r="59" spans="1:20" ht="15" x14ac:dyDescent="0.25">
      <c r="C59" s="152" t="s">
        <v>325</v>
      </c>
      <c r="D59" s="153"/>
      <c r="E59" s="153"/>
      <c r="F59" s="153"/>
      <c r="G59" s="153"/>
      <c r="H59" s="94"/>
    </row>
    <row r="60" spans="1:20" ht="30" x14ac:dyDescent="0.25">
      <c r="C60" s="3" t="s">
        <v>66</v>
      </c>
      <c r="D60" s="3" t="s">
        <v>71</v>
      </c>
      <c r="E60" s="90" t="s">
        <v>75</v>
      </c>
      <c r="F60" s="3" t="s">
        <v>3</v>
      </c>
      <c r="G60" s="3" t="s">
        <v>4</v>
      </c>
      <c r="H60" s="94"/>
    </row>
    <row r="61" spans="1:20" ht="14.25" x14ac:dyDescent="0.2">
      <c r="C61" s="15" t="s">
        <v>69</v>
      </c>
      <c r="D61" s="9" t="s">
        <v>290</v>
      </c>
      <c r="E61" s="21">
        <v>168.3</v>
      </c>
      <c r="F61" s="20">
        <f>4004.64+405</f>
        <v>4409.6399999999994</v>
      </c>
      <c r="G61" s="21">
        <f>3422*1</f>
        <v>3422</v>
      </c>
      <c r="H61" s="94"/>
    </row>
    <row r="62" spans="1:20" ht="14.25" x14ac:dyDescent="0.2">
      <c r="C62" s="15" t="s">
        <v>69</v>
      </c>
      <c r="D62" s="9" t="s">
        <v>288</v>
      </c>
      <c r="E62" s="29">
        <v>750.34</v>
      </c>
      <c r="F62" s="25"/>
      <c r="G62" s="25"/>
      <c r="H62" s="94"/>
    </row>
    <row r="63" spans="1:20" ht="14.25" x14ac:dyDescent="0.2">
      <c r="C63" s="15" t="s">
        <v>69</v>
      </c>
      <c r="D63" s="9" t="s">
        <v>289</v>
      </c>
      <c r="E63" s="21">
        <v>766.24</v>
      </c>
      <c r="F63" s="20"/>
      <c r="G63" s="21"/>
      <c r="H63" s="94"/>
    </row>
    <row r="64" spans="1:20" ht="14.25" x14ac:dyDescent="0.2">
      <c r="C64" s="15" t="s">
        <v>69</v>
      </c>
      <c r="D64" s="9" t="s">
        <v>284</v>
      </c>
      <c r="E64" s="29">
        <v>135.29</v>
      </c>
      <c r="F64" s="21">
        <f>2803.25+284.07</f>
        <v>3087.32</v>
      </c>
      <c r="G64" s="21">
        <f>3422*1</f>
        <v>3422</v>
      </c>
      <c r="H64" s="94"/>
    </row>
    <row r="65" spans="3:11" ht="14.25" x14ac:dyDescent="0.2">
      <c r="C65" s="15" t="s">
        <v>69</v>
      </c>
      <c r="D65" s="9" t="s">
        <v>287</v>
      </c>
      <c r="E65" s="29">
        <v>240.27</v>
      </c>
      <c r="F65" s="21">
        <v>8409.75</v>
      </c>
      <c r="G65" s="21">
        <f>3422*3</f>
        <v>10266</v>
      </c>
      <c r="H65" s="94"/>
    </row>
    <row r="66" spans="3:11" ht="14.25" x14ac:dyDescent="0.2">
      <c r="C66" s="15" t="s">
        <v>69</v>
      </c>
      <c r="D66" s="9" t="s">
        <v>285</v>
      </c>
      <c r="E66" s="29">
        <v>1768.28</v>
      </c>
      <c r="F66" s="21"/>
      <c r="G66" s="21"/>
      <c r="H66" s="94"/>
    </row>
    <row r="67" spans="3:11" ht="14.25" x14ac:dyDescent="0.2">
      <c r="C67" s="15" t="s">
        <v>69</v>
      </c>
      <c r="D67" s="9" t="s">
        <v>291</v>
      </c>
      <c r="E67" s="29">
        <v>600</v>
      </c>
      <c r="F67" s="21"/>
      <c r="G67" s="21"/>
      <c r="H67" s="94"/>
    </row>
    <row r="68" spans="3:11" ht="14.25" x14ac:dyDescent="0.2">
      <c r="C68" s="15" t="s">
        <v>69</v>
      </c>
      <c r="D68" s="9" t="s">
        <v>286</v>
      </c>
      <c r="E68" s="29">
        <f>117.17*5</f>
        <v>585.85</v>
      </c>
      <c r="F68" s="21">
        <v>20505.25</v>
      </c>
      <c r="G68" s="21"/>
      <c r="H68" s="94"/>
    </row>
    <row r="69" spans="3:11" x14ac:dyDescent="0.2">
      <c r="E69" s="154">
        <f>SUM(E61:E68)</f>
        <v>5014.5700000000006</v>
      </c>
      <c r="F69" s="155">
        <f>SUM(F61:F68)</f>
        <v>36411.96</v>
      </c>
      <c r="G69" s="154">
        <f>SUM(G61:G68)</f>
        <v>17110</v>
      </c>
      <c r="H69" s="94"/>
      <c r="K69" s="142"/>
    </row>
    <row r="70" spans="3:11" x14ac:dyDescent="0.2">
      <c r="E70" s="94"/>
      <c r="G70" s="94"/>
      <c r="H70" s="94"/>
      <c r="K70" s="142"/>
    </row>
  </sheetData>
  <autoFilter ref="A2:T2"/>
  <mergeCells count="3">
    <mergeCell ref="K1:L1"/>
    <mergeCell ref="E58:F58"/>
    <mergeCell ref="C59:G59"/>
  </mergeCells>
  <pageMargins left="0.511811024" right="0.511811024" top="0.78740157499999996" bottom="0.78740157499999996" header="0.31496062000000002" footer="0.31496062000000002"/>
  <pageSetup orientation="portrait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6" sqref="B6"/>
    </sheetView>
  </sheetViews>
  <sheetFormatPr defaultRowHeight="15" x14ac:dyDescent="0.25"/>
  <cols>
    <col min="1" max="1" width="3.28515625" bestFit="1" customWidth="1"/>
    <col min="2" max="2" width="18.28515625" bestFit="1" customWidth="1"/>
    <col min="3" max="3" width="17.28515625" bestFit="1" customWidth="1"/>
    <col min="4" max="4" width="6.5703125" bestFit="1" customWidth="1"/>
    <col min="5" max="5" width="26" bestFit="1" customWidth="1"/>
    <col min="6" max="6" width="15.28515625" bestFit="1" customWidth="1"/>
    <col min="7" max="7" width="28.28515625" bestFit="1" customWidth="1"/>
    <col min="8" max="8" width="21.85546875" bestFit="1" customWidth="1"/>
    <col min="9" max="9" width="12.85546875" bestFit="1" customWidth="1"/>
    <col min="10" max="10" width="15" bestFit="1" customWidth="1"/>
    <col min="11" max="11" width="13.5703125" bestFit="1" customWidth="1"/>
    <col min="12" max="12" width="16.140625" bestFit="1" customWidth="1"/>
    <col min="13" max="13" width="14.7109375" bestFit="1" customWidth="1"/>
    <col min="14" max="14" width="15.85546875" bestFit="1" customWidth="1"/>
    <col min="15" max="15" width="13.85546875" bestFit="1" customWidth="1"/>
    <col min="16" max="16" width="38.140625" bestFit="1" customWidth="1"/>
    <col min="17" max="17" width="16.140625" bestFit="1" customWidth="1"/>
    <col min="18" max="18" width="255.7109375" bestFit="1" customWidth="1"/>
  </cols>
  <sheetData>
    <row r="1" spans="1:19" s="85" customFormat="1" ht="30" x14ac:dyDescent="0.25">
      <c r="A1" s="83"/>
      <c r="B1" s="84" t="s">
        <v>253</v>
      </c>
      <c r="C1" s="84" t="s">
        <v>81</v>
      </c>
      <c r="D1" s="84" t="s">
        <v>213</v>
      </c>
      <c r="E1" s="84" t="s">
        <v>254</v>
      </c>
      <c r="F1" s="88" t="s">
        <v>265</v>
      </c>
      <c r="G1" s="88" t="s">
        <v>266</v>
      </c>
      <c r="H1" s="88" t="s">
        <v>267</v>
      </c>
      <c r="I1" s="88" t="s">
        <v>268</v>
      </c>
      <c r="J1" s="84" t="s">
        <v>2</v>
      </c>
      <c r="K1" s="84" t="s">
        <v>3</v>
      </c>
      <c r="L1" s="84" t="s">
        <v>4</v>
      </c>
      <c r="M1" s="84" t="s">
        <v>5</v>
      </c>
      <c r="N1" s="62" t="s">
        <v>6</v>
      </c>
      <c r="O1" s="86" t="s">
        <v>252</v>
      </c>
      <c r="P1" s="84" t="s">
        <v>11</v>
      </c>
      <c r="Q1" s="83" t="s">
        <v>10</v>
      </c>
      <c r="R1" s="83" t="s">
        <v>80</v>
      </c>
    </row>
    <row r="2" spans="1:19" s="7" customFormat="1" x14ac:dyDescent="0.25">
      <c r="A2" s="13">
        <v>1</v>
      </c>
      <c r="B2" s="8" t="s">
        <v>90</v>
      </c>
      <c r="C2" s="75" t="s">
        <v>255</v>
      </c>
      <c r="D2" s="13"/>
      <c r="E2" s="19" t="s">
        <v>96</v>
      </c>
      <c r="F2" s="89">
        <v>0</v>
      </c>
      <c r="G2" s="89"/>
      <c r="H2" s="89"/>
      <c r="I2" s="89"/>
      <c r="J2" s="21" t="s">
        <v>13</v>
      </c>
      <c r="K2" s="21" t="s">
        <v>13</v>
      </c>
      <c r="L2" s="21" t="s">
        <v>13</v>
      </c>
      <c r="M2" s="21">
        <v>6629.38</v>
      </c>
      <c r="N2" s="76">
        <f t="shared" ref="N2:N7" si="0">SUM(J2:M2)</f>
        <v>6629.38</v>
      </c>
      <c r="O2" s="87"/>
      <c r="P2" s="9" t="s">
        <v>14</v>
      </c>
      <c r="Q2" s="9" t="s">
        <v>196</v>
      </c>
      <c r="R2" s="57" t="s">
        <v>231</v>
      </c>
    </row>
    <row r="3" spans="1:19" s="7" customFormat="1" x14ac:dyDescent="0.25">
      <c r="A3" s="13">
        <v>2</v>
      </c>
      <c r="B3" s="8" t="s">
        <v>21</v>
      </c>
      <c r="C3" s="75" t="s">
        <v>255</v>
      </c>
      <c r="D3" s="13"/>
      <c r="E3" s="19" t="s">
        <v>257</v>
      </c>
      <c r="F3" s="89">
        <v>5</v>
      </c>
      <c r="G3" s="89"/>
      <c r="H3" s="89"/>
      <c r="I3" s="89"/>
      <c r="J3" s="29" t="s">
        <v>13</v>
      </c>
      <c r="K3" s="21" t="s">
        <v>13</v>
      </c>
      <c r="L3" s="21">
        <f>3422*5</f>
        <v>17110</v>
      </c>
      <c r="M3" s="21" t="s">
        <v>13</v>
      </c>
      <c r="N3" s="76">
        <f t="shared" si="0"/>
        <v>17110</v>
      </c>
      <c r="O3" s="87"/>
      <c r="P3" s="12" t="s">
        <v>22</v>
      </c>
      <c r="Q3" s="9" t="s">
        <v>209</v>
      </c>
      <c r="R3" s="57" t="s">
        <v>84</v>
      </c>
    </row>
    <row r="4" spans="1:19" s="7" customFormat="1" x14ac:dyDescent="0.25">
      <c r="A4" s="13">
        <v>3</v>
      </c>
      <c r="B4" s="8" t="s">
        <v>41</v>
      </c>
      <c r="C4" s="75" t="s">
        <v>255</v>
      </c>
      <c r="D4" s="13"/>
      <c r="E4" s="19" t="s">
        <v>269</v>
      </c>
      <c r="F4" s="89">
        <v>2</v>
      </c>
      <c r="G4" s="89"/>
      <c r="H4" s="89"/>
      <c r="I4" s="89"/>
      <c r="J4" s="21" t="s">
        <v>13</v>
      </c>
      <c r="K4" s="21" t="s">
        <v>13</v>
      </c>
      <c r="L4" s="21" t="s">
        <v>13</v>
      </c>
      <c r="M4" s="21">
        <v>7204</v>
      </c>
      <c r="N4" s="76">
        <f t="shared" si="0"/>
        <v>7204</v>
      </c>
      <c r="O4" s="87"/>
      <c r="P4" s="12" t="s">
        <v>31</v>
      </c>
      <c r="Q4" s="9" t="s">
        <v>205</v>
      </c>
      <c r="R4" s="57" t="s">
        <v>84</v>
      </c>
    </row>
    <row r="5" spans="1:19" s="7" customFormat="1" x14ac:dyDescent="0.25">
      <c r="A5" s="13">
        <v>4</v>
      </c>
      <c r="B5" s="8" t="s">
        <v>44</v>
      </c>
      <c r="C5" s="75" t="s">
        <v>238</v>
      </c>
      <c r="D5" s="13"/>
      <c r="E5" s="19" t="s">
        <v>60</v>
      </c>
      <c r="F5" s="89">
        <v>2</v>
      </c>
      <c r="G5" s="89"/>
      <c r="H5" s="89"/>
      <c r="I5" s="89"/>
      <c r="J5" s="21">
        <v>10160.18</v>
      </c>
      <c r="K5" s="21">
        <v>8809.2800000000007</v>
      </c>
      <c r="L5" s="21">
        <f>3422*2</f>
        <v>6844</v>
      </c>
      <c r="M5" s="21">
        <v>11898.35</v>
      </c>
      <c r="N5" s="76">
        <f t="shared" si="0"/>
        <v>37711.81</v>
      </c>
      <c r="O5" s="87"/>
      <c r="P5" s="12" t="s">
        <v>31</v>
      </c>
      <c r="Q5" s="9" t="s">
        <v>292</v>
      </c>
      <c r="R5" s="57" t="s">
        <v>331</v>
      </c>
      <c r="S5" s="7" t="s">
        <v>208</v>
      </c>
    </row>
    <row r="6" spans="1:19" s="7" customFormat="1" x14ac:dyDescent="0.25">
      <c r="A6" s="13">
        <v>5</v>
      </c>
      <c r="B6" s="8" t="s">
        <v>28</v>
      </c>
      <c r="C6" s="75" t="s">
        <v>238</v>
      </c>
      <c r="D6" s="13"/>
      <c r="E6" s="19" t="s">
        <v>51</v>
      </c>
      <c r="F6" s="89">
        <v>1</v>
      </c>
      <c r="G6" s="89"/>
      <c r="H6" s="89"/>
      <c r="I6" s="89"/>
      <c r="J6" s="29">
        <v>34071.1</v>
      </c>
      <c r="K6" s="21" t="s">
        <v>13</v>
      </c>
      <c r="L6" s="21">
        <f>3602.11*27</f>
        <v>97256.97</v>
      </c>
      <c r="M6" s="21">
        <v>20344.75</v>
      </c>
      <c r="N6" s="76">
        <f t="shared" si="0"/>
        <v>151672.82</v>
      </c>
      <c r="O6" s="87"/>
      <c r="P6" s="12" t="s">
        <v>27</v>
      </c>
      <c r="Q6" s="9" t="s">
        <v>232</v>
      </c>
      <c r="R6" s="57" t="s">
        <v>239</v>
      </c>
    </row>
    <row r="7" spans="1:19" s="7" customFormat="1" x14ac:dyDescent="0.25">
      <c r="A7" s="13">
        <v>6</v>
      </c>
      <c r="B7" s="8" t="s">
        <v>35</v>
      </c>
      <c r="C7" s="75" t="s">
        <v>238</v>
      </c>
      <c r="D7" s="13"/>
      <c r="E7" s="19" t="s">
        <v>54</v>
      </c>
      <c r="F7" s="89">
        <v>13</v>
      </c>
      <c r="G7" s="89"/>
      <c r="H7" s="89"/>
      <c r="I7" s="89"/>
      <c r="J7" s="29">
        <v>14853.81</v>
      </c>
      <c r="K7" s="21" t="s">
        <v>13</v>
      </c>
      <c r="L7" s="21">
        <f>3422*13</f>
        <v>44486</v>
      </c>
      <c r="M7" s="21">
        <f>17790.83+20357.38</f>
        <v>38148.210000000006</v>
      </c>
      <c r="N7" s="76">
        <f t="shared" si="0"/>
        <v>97488.02</v>
      </c>
      <c r="O7" s="87"/>
      <c r="P7" s="12" t="s">
        <v>27</v>
      </c>
      <c r="Q7" s="9" t="s">
        <v>207</v>
      </c>
      <c r="R7" s="6" t="s">
        <v>237</v>
      </c>
    </row>
    <row r="8" spans="1:19" s="7" customFormat="1" x14ac:dyDescent="0.25">
      <c r="A8" s="13">
        <v>7</v>
      </c>
      <c r="B8" s="8" t="s">
        <v>134</v>
      </c>
      <c r="C8" s="75" t="s">
        <v>238</v>
      </c>
      <c r="D8" s="13"/>
      <c r="E8" s="19" t="s">
        <v>111</v>
      </c>
      <c r="F8" s="89">
        <v>0</v>
      </c>
      <c r="G8" s="89"/>
      <c r="H8" s="89"/>
      <c r="I8" s="89"/>
      <c r="J8" s="29"/>
      <c r="K8" s="21"/>
      <c r="L8" s="21"/>
      <c r="M8" s="21"/>
      <c r="N8" s="76"/>
      <c r="O8" s="87"/>
      <c r="P8" s="12"/>
      <c r="Q8" s="79" t="s">
        <v>234</v>
      </c>
      <c r="R8" s="6" t="s">
        <v>236</v>
      </c>
    </row>
    <row r="9" spans="1:19" thickBot="1" x14ac:dyDescent="0.45">
      <c r="J9" s="58">
        <f>SUM(J2:J8)</f>
        <v>59085.09</v>
      </c>
      <c r="L9" s="58">
        <f>SUM(L2:L8)</f>
        <v>165696.97</v>
      </c>
      <c r="M9" s="58">
        <f>SUM(M2:M8)</f>
        <v>84224.69</v>
      </c>
      <c r="N9" s="58">
        <f>SUM(N2:N8)</f>
        <v>317816.03000000003</v>
      </c>
      <c r="O9" s="58">
        <f>SUM(O2:O8)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AGOS_22</vt:lpstr>
      <vt:lpstr>Set_22</vt:lpstr>
      <vt:lpstr>OUT_22</vt:lpstr>
      <vt:lpstr>NOV_22</vt:lpstr>
      <vt:lpstr>Perdido_Suspenso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Joice</dc:creator>
  <cp:lastModifiedBy>MAP</cp:lastModifiedBy>
  <dcterms:created xsi:type="dcterms:W3CDTF">2022-10-20T12:57:00Z</dcterms:created>
  <dcterms:modified xsi:type="dcterms:W3CDTF">2022-11-18T22:35:59Z</dcterms:modified>
</cp:coreProperties>
</file>