
<file path=[Content_Types].xml><?xml version="1.0" encoding="utf-8"?>
<Types xmlns="http://schemas.openxmlformats.org/package/2006/content-types">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Calculator" sheetId="2" r:id="rId5"/>
    <sheet state="visible" name="Visualisation" sheetId="3" r:id="rId6"/>
    <sheet state="visible" name="Methodology" sheetId="4" r:id="rId7"/>
    <sheet state="visible" name="Details" sheetId="5" r:id="rId8"/>
    <sheet state="visible" name="BESS Example" sheetId="6" r:id="rId9"/>
    <sheet state="visible" name="BACKEND Fees Database" sheetId="7" r:id="rId10"/>
    <sheet state="visible" name="BACKEND BESS Exemptions" sheetId="8" r:id="rId11"/>
    <sheet state="visible" name="BACKEND Connection Types" sheetId="9" r:id="rId12"/>
  </sheets>
  <definedNames>
    <definedName name="Fluvius_Voltage">'BACKEND Connection Types'!$B$2:$B$3</definedName>
    <definedName name="Resa_Voltage">'BACKEND Connection Types'!$E$2</definedName>
    <definedName name="Sibelga_Voltage">'BACKEND Connection Types'!$C$2</definedName>
    <definedName name="Elia_Voltage">'BACKEND Connection Types'!$A$2:$A$4</definedName>
    <definedName name="Orese_Voltage">'BACKEND Connection Types'!$D$2</definedName>
  </definedNames>
  <calcPr/>
</workbook>
</file>

<file path=xl/sharedStrings.xml><?xml version="1.0" encoding="utf-8"?>
<sst xmlns="http://schemas.openxmlformats.org/spreadsheetml/2006/main" count="748" uniqueCount="240">
  <si>
    <t>Title</t>
  </si>
  <si>
    <t>Calculation Grid Fees - Belgium - BESS Focus</t>
  </si>
  <si>
    <t>Recipient</t>
  </si>
  <si>
    <t>Internal Document</t>
  </si>
  <si>
    <t>Flexcity Contact</t>
  </si>
  <si>
    <t>Anna Hutse, Aron Vanneste</t>
  </si>
  <si>
    <t>Date</t>
  </si>
  <si>
    <t>Note: This sheet is intended for indicative purposes. Actual grid fees may vary based on specific contractual arrangements and regulatory changes.</t>
  </si>
  <si>
    <t>Description</t>
  </si>
  <si>
    <r>
      <rPr>
        <rFont val="Arial"/>
        <i/>
        <color theme="1"/>
      </rPr>
      <t xml:space="preserve">
This sheet provides a comprehensive overview of grid fees for all Belgian DSOs (Fluvius, Ores, Resa, Sibelga) and the TSO (Elia) for the year 2026.
</t>
    </r>
    <r>
      <rPr>
        <rFont val="Arial"/>
        <b/>
        <i/>
        <color theme="1"/>
      </rPr>
      <t xml:space="preserve">The Calculator tab determines annual grid fees based on:
</t>
    </r>
    <r>
      <rPr>
        <rFont val="Arial"/>
        <i/>
        <color theme="1"/>
      </rPr>
      <t xml:space="preserve">- DSO/TSO selection (with regional breakdown for Fluvius)
- Voltage level &amp; Connection type
- Connection capacity (MVA)
- Annual peak demand (MW)
- Monthly peak demand (MW)
- Energy consumption (MWh)
</t>
    </r>
    <r>
      <rPr>
        <rFont val="Arial"/>
        <b/>
        <i/>
        <color theme="1"/>
      </rPr>
      <t xml:space="preserve">Two calculation scenarios are provided:
</t>
    </r>
    <r>
      <rPr>
        <rFont val="Arial"/>
        <i/>
        <color theme="1"/>
      </rPr>
      <t xml:space="preserve">1. </t>
    </r>
    <r>
      <rPr>
        <rFont val="Arial"/>
        <b/>
        <i/>
        <color theme="1"/>
      </rPr>
      <t>Without</t>
    </r>
    <r>
      <rPr>
        <rFont val="Arial"/>
        <i/>
        <color theme="1"/>
      </rPr>
      <t xml:space="preserve"> exemptions: Standard grid fees
2. </t>
    </r>
    <r>
      <rPr>
        <rFont val="Arial"/>
        <b/>
        <i/>
        <color theme="1"/>
      </rPr>
      <t>With</t>
    </r>
    <r>
      <rPr>
        <rFont val="Arial"/>
        <i/>
        <color theme="1"/>
      </rPr>
      <t xml:space="preserve"> BESS exemptions: Reduced grid fees for battery energy storage systems under Belgian regulatory exemptions
</t>
    </r>
    <r>
      <rPr>
        <rFont val="Arial"/>
        <b/>
        <i/>
        <color theme="1"/>
      </rPr>
      <t xml:space="preserve">Additional tabs:
</t>
    </r>
    <r>
      <rPr>
        <rFont val="Arial"/>
        <i/>
        <color theme="1"/>
      </rPr>
      <t xml:space="preserve">- </t>
    </r>
    <r>
      <rPr>
        <rFont val="Arial"/>
        <b/>
        <i/>
        <color theme="1"/>
      </rPr>
      <t>Visualisation tab</t>
    </r>
    <r>
      <rPr>
        <rFont val="Arial"/>
        <i/>
        <color theme="1"/>
      </rPr>
      <t xml:space="preserve">: Interactive charts showing cost breakdown per fee component for both scenarios (automatically updates based on Calculator inputs)
</t>
    </r>
    <r>
      <rPr>
        <rFont val="Arial"/>
        <b/>
        <i/>
        <color theme="1"/>
      </rPr>
      <t>- Methodology tab</t>
    </r>
    <r>
      <rPr>
        <rFont val="Arial"/>
        <i/>
        <color theme="1"/>
      </rPr>
      <t xml:space="preserve">: Calculation rules per DSO/TSO (specifically for peak &amp; volumetric) and an overview of excluded costs and applied BESS exemptions
- </t>
    </r>
    <r>
      <rPr>
        <rFont val="Arial"/>
        <b/>
        <i/>
        <color theme="1"/>
      </rPr>
      <t>Details tab</t>
    </r>
    <r>
      <rPr>
        <rFont val="Arial"/>
        <i/>
        <color theme="1"/>
      </rPr>
      <t xml:space="preserve">: Complete overview of grid fee components, sources, and all regulatory exemptions
- </t>
    </r>
    <r>
      <rPr>
        <rFont val="Arial"/>
        <b/>
        <i/>
        <color theme="1"/>
      </rPr>
      <t>BESS Example tab</t>
    </r>
    <r>
      <rPr>
        <rFont val="Arial"/>
        <i/>
        <color theme="1"/>
      </rPr>
      <t xml:space="preserve">: Reference case for a 1MW/2MWh BESS system operating 1.5 cycles per day (for Fluvius: the region Midden-Vlaanderen was used)
- </t>
    </r>
    <r>
      <rPr>
        <rFont val="Arial"/>
        <b/>
        <i/>
        <color theme="1"/>
      </rPr>
      <t>BACKEND tabs</t>
    </r>
    <r>
      <rPr>
        <rFont val="Arial"/>
        <i/>
        <color theme="1"/>
      </rPr>
      <t xml:space="preserve">: Data sources (Fees Database, BESS Exemptions, Connection Types)
</t>
    </r>
  </si>
  <si>
    <t>INPUT</t>
  </si>
  <si>
    <t>Input for BESS 1 MW/2MWh, 1.5 cycles per day</t>
  </si>
  <si>
    <t>DSO/TSO Selection</t>
  </si>
  <si>
    <t>Elia</t>
  </si>
  <si>
    <t>Yearly Consumption (MWh/y)</t>
  </si>
  <si>
    <t>Region</t>
  </si>
  <si>
    <t>N/A</t>
  </si>
  <si>
    <t>Monthly Peak Demand (MW)</t>
  </si>
  <si>
    <t>Voltage Level</t>
  </si>
  <si>
    <t>Annual Peak Demand (MW)</t>
  </si>
  <si>
    <t>Connection Type</t>
  </si>
  <si>
    <t>Contracted Capacity (MVA)</t>
  </si>
  <si>
    <t>Yearly Consumption Offtake (MWh/y)</t>
  </si>
  <si>
    <t>Yearly Consumption Injection (MWh/y)</t>
  </si>
  <si>
    <t>CALCULATION WITHOUT EXEMPTIONS</t>
  </si>
  <si>
    <t>CALCULATION WITH EXEMPTIONS FOR BESS</t>
  </si>
  <si>
    <t>Injection Fixed</t>
  </si>
  <si>
    <t>k€/y</t>
  </si>
  <si>
    <t>Injection Contracted</t>
  </si>
  <si>
    <t>Injection Peak Monthly</t>
  </si>
  <si>
    <t>Please allow a moment for the calculator to refresh after making a dropdown selection</t>
  </si>
  <si>
    <t>Injection Peak Yearly</t>
  </si>
  <si>
    <t>Injection Volumetric</t>
  </si>
  <si>
    <t>Injection Other</t>
  </si>
  <si>
    <t>Offtake Fixed</t>
  </si>
  <si>
    <t>Offtake Contracted</t>
  </si>
  <si>
    <t>Offtake Peak Monthly</t>
  </si>
  <si>
    <t>Offtake Peak Yearly</t>
  </si>
  <si>
    <t>Offtake Volumetric</t>
  </si>
  <si>
    <t>Offtake Other</t>
  </si>
  <si>
    <t>TOTAL</t>
  </si>
  <si>
    <t>All calculations in this sheet are excluding VAT</t>
  </si>
  <si>
    <t>Costs not taken into account</t>
  </si>
  <si>
    <t>Fees for (additional) reactive energy</t>
  </si>
  <si>
    <t>Fees for exceeding access power (in this sheet referred to as contracted capacity)</t>
  </si>
  <si>
    <t>Fees for imbalance compensation tariffs (specifically for Elia)</t>
  </si>
  <si>
    <t>Fees for market integration (specifically for Elia)</t>
  </si>
  <si>
    <t>Details about calculations</t>
  </si>
  <si>
    <t>Offtake Monthly Peak Elia</t>
  </si>
  <si>
    <t>monthly peak applied to the 11th measured peak of the month (only if specifically connected to the Elia grid or DSO connected to 30/36/70-kV network).
Quarter-hours during the monthly peak demand-reduction period (April to September, weekends, 10 a.m. to 7 p.m.) are excluded from the monthly peak calculation.</t>
  </si>
  <si>
    <t>Offtake Annual Peak Elia</t>
  </si>
  <si>
    <t>Annual peak applied to the highest measured peak during the annual peak tariff period in the previous 12 months, after excluding the 10 highest peaks measured each month (only if specifically connected to the Elia grid or DSO connected to 30/36/70-kV network). 
The annual peak tariff period is defined as January to March and November to December, from 5 p.m. to 8 p.m., excluding weekends and public holidays."</t>
  </si>
  <si>
    <t>Offtake Annual Peak Sibelga</t>
  </si>
  <si>
    <t>Capacity rate multiplied by degression factor E1</t>
  </si>
  <si>
    <t>Offtake Volumetric Sibelga</t>
  </si>
  <si>
    <t>fees are split into HI and LO HI: 0.0044466 LO: 0.0026680 --&gt; for these calculations the average was taken</t>
  </si>
  <si>
    <t>Offtake Annual Peak Ores</t>
  </si>
  <si>
    <t>Multiply by 1/3 of highest monthly peak from the past 12 months</t>
  </si>
  <si>
    <t>Offtake Monthly Peak Ores</t>
  </si>
  <si>
    <t>Multiply by 2/3 of 11th highest quarterly peak of the month OR (if insufficient data) multiply by 2/3 of the maximum measured peak power during the month</t>
  </si>
  <si>
    <t>Offtake Volumetric Resa</t>
  </si>
  <si>
    <t>fees are split into HI and LO: HI: 0.0005446 LO: 0.0002178" --&gt; for these calculations the average was taken</t>
  </si>
  <si>
    <t>Offtake Monthly Peak Resa</t>
  </si>
  <si>
    <t>Offtake Annual Peak Resa</t>
  </si>
  <si>
    <t>BESS Exemptions taken into account</t>
  </si>
  <si>
    <t>Offtake</t>
  </si>
  <si>
    <t>Electricity storage facilities:
New storage facilities (commissioned after July 1, 2018): 100% exemption from all transmission tariffs (except connection tariffs) for 10 years following initial commissioning.</t>
  </si>
  <si>
    <t>Fluvius</t>
  </si>
  <si>
    <r>
      <rPr>
        <rFont val="Arial"/>
      </rPr>
      <t>-</t>
    </r>
    <r>
      <rPr>
        <rFont val="Arial"/>
        <color rgb="FF1155CC"/>
        <u/>
      </rPr>
      <t>Stand-alone stationary storage systems</t>
    </r>
    <r>
      <rPr>
        <rFont val="Arial"/>
      </rPr>
      <t>: 
  • 80% reduction on the contracted capacity and peak monthly tariff (exceeding capacity tariff as well but not included in these calculations
  • 100% exemption from volumetric tariff (tariff for PSO &amp; surcharges)</t>
    </r>
  </si>
  <si>
    <t>Resa</t>
  </si>
  <si>
    <t>Injection</t>
  </si>
  <si>
    <r>
      <rPr>
        <rFont val="Arial"/>
        <color theme="1"/>
      </rPr>
      <t xml:space="preserve">-Electricity storage installations: 
  • 100% exemption from </t>
    </r>
    <r>
      <rPr>
        <rFont val="Arial"/>
        <b/>
        <color theme="1"/>
      </rPr>
      <t>injection</t>
    </r>
    <r>
      <rPr>
        <rFont val="Arial"/>
        <color theme="1"/>
      </rPr>
      <t xml:space="preserve"> tariffs</t>
    </r>
  </si>
  <si>
    <t>Ores</t>
  </si>
  <si>
    <t>-Electricity storage installations:
  • PSO tariff based on net active energy consumed over a calendar year (not gross consumption)
  • Surcharges tariff based on net active energy consumed over a calendar year (not gross consumption)
  • Correction and reimbursement processed in January of year Y+1</t>
  </si>
  <si>
    <t>-Electricity storage installations: 
  • 100% exemption from injection tariffs</t>
  </si>
  <si>
    <t>Split LO &amp; HI hours</t>
  </si>
  <si>
    <t>Sibelga</t>
  </si>
  <si>
    <t>LO hours: Monday to Friday 10PM-7AM, Weekends &amp; Holidays 24h/24</t>
  </si>
  <si>
    <t>Resa/Ores</t>
  </si>
  <si>
    <t>Quarter-hourly meter</t>
  </si>
  <si>
    <t>LO hours: Monday to Friday 10:30PM-7:30AM, Weekends &amp; Holidays 24h/24</t>
  </si>
  <si>
    <t>Monthly or annual meter</t>
  </si>
  <si>
    <t>Assume 1.5 cycle per day = 3 MWh charge + 3 MWh discharge</t>
  </si>
  <si>
    <t>Input</t>
  </si>
  <si>
    <t>Peak demand (MW)</t>
  </si>
  <si>
    <t>E1</t>
  </si>
  <si>
    <t>Code</t>
  </si>
  <si>
    <t>System Operator</t>
  </si>
  <si>
    <t>Voltage level</t>
  </si>
  <si>
    <t>Connection</t>
  </si>
  <si>
    <t>Link to tariffs</t>
  </si>
  <si>
    <t>Total costs for 1 MW, 2h BESS 
incl. regulatory exemptions</t>
  </si>
  <si>
    <t>Exemptions</t>
  </si>
  <si>
    <t>Total costs for 1 MW, 2h BESS 
excl. regulatory exemtions</t>
  </si>
  <si>
    <t>Injection costs</t>
  </si>
  <si>
    <t>Note</t>
  </si>
  <si>
    <t>Contracted Yearly</t>
  </si>
  <si>
    <t>Peak Monthly</t>
  </si>
  <si>
    <t>Peak Yearly</t>
  </si>
  <si>
    <t>Volumetric</t>
  </si>
  <si>
    <t>Other costs</t>
  </si>
  <si>
    <t>Offtake costs</t>
  </si>
  <si>
    <t>Contracted Capacity</t>
  </si>
  <si>
    <t>Fixed</t>
  </si>
  <si>
    <t>-</t>
  </si>
  <si>
    <t>k€/MVA/y</t>
  </si>
  <si>
    <t>k€/MW/y</t>
  </si>
  <si>
    <t>k€/MWh</t>
  </si>
  <si>
    <t>Elia - 110-380</t>
  </si>
  <si>
    <t>High - 110-380 kV</t>
  </si>
  <si>
    <t>Tariffs for 24-27
Exemption Electricity storage facilities</t>
  </si>
  <si>
    <r>
      <rPr>
        <rFont val="Arial"/>
        <i/>
        <color rgb="FFB7B7B7"/>
      </rPr>
      <t>-</t>
    </r>
    <r>
      <rPr>
        <rFont val="Arial"/>
        <b/>
        <i/>
        <color rgb="FFB7B7B7"/>
      </rPr>
      <t>Mobile load discount</t>
    </r>
    <r>
      <rPr>
        <rFont val="Arial"/>
        <i/>
        <color rgb="FFB7B7B7"/>
      </rPr>
      <t>: For 'mobile load' access points, the monthly and yearly offtake peak tariff as well as the contracted yearly tariff is reduced by 7%.
-</t>
    </r>
    <r>
      <rPr>
        <rFont val="Arial"/>
        <b/>
        <i/>
        <color rgb="FFB7B7B7"/>
      </rPr>
      <t>Electricity storage facilities</t>
    </r>
    <r>
      <rPr>
        <rFont val="Arial"/>
        <i/>
        <color rgb="FFB7B7B7"/>
      </rPr>
      <t xml:space="preserve">:
</t>
    </r>
    <r>
      <rPr>
        <rFont val="Arial"/>
        <i/>
        <color rgb="FFB7B7B7"/>
        <u/>
      </rPr>
      <t xml:space="preserve">New storage facilities </t>
    </r>
    <r>
      <rPr>
        <rFont val="Arial"/>
        <i/>
        <color rgb="FFB7B7B7"/>
      </rPr>
      <t xml:space="preserve">(commissioned after July 1, 2018): 100% exemption from all transmission tariffs (except connection tariffs) for 10 years following initial commissioning.
</t>
    </r>
    <r>
      <rPr>
        <rFont val="Arial"/>
        <i/>
        <color rgb="FFB7B7B7"/>
        <u/>
      </rPr>
      <t>Expanded storage facilities</t>
    </r>
    <r>
      <rPr>
        <rFont val="Arial"/>
        <i/>
        <color rgb="FFB7B7B7"/>
      </rPr>
      <t xml:space="preserve"> (&gt;7.5% increase in both capacity and energy vs. July 1, 2018): 80% exemption from transmission tariffs (except connection tariffs) for 5 years following recommissioning. The exemption can start after the first phase of expansion (capacity OR energy), but must be reimbursed within 2 months if the second phase is not completed within 3 years after the first phase ends.
-</t>
    </r>
    <r>
      <rPr>
        <rFont val="Arial"/>
        <b/>
        <i/>
        <color rgb="FFB7B7B7"/>
      </rPr>
      <t>Balancing/redispatching corrections</t>
    </r>
    <r>
      <rPr>
        <rFont val="Arial"/>
        <i/>
        <color rgb="FFB7B7B7"/>
      </rPr>
      <t>: If Elia activates downward aFRR, mFRR, or redispatching energy that impacts the monthly or yearly offtake peak calculation, the monthly or yearly peak will be corrected based on this impact.</t>
    </r>
  </si>
  <si>
    <t>Different tariffs for additional access points (they are a lot smaller)</t>
  </si>
  <si>
    <r>
      <rPr>
        <rFont val="Arial"/>
        <i/>
        <color rgb="FFB7B7B7"/>
      </rPr>
      <t xml:space="preserve">monthly peak applied to the </t>
    </r>
    <r>
      <rPr>
        <rFont val="Arial"/>
        <b/>
        <i/>
        <color rgb="FFB7B7B7"/>
      </rPr>
      <t>11th measured peak</t>
    </r>
    <r>
      <rPr>
        <rFont val="Arial"/>
        <i/>
        <color rgb="FFB7B7B7"/>
      </rPr>
      <t xml:space="preserve"> of the month (only if specifically connected to the Elia grid or DSO connected to 30/36/70-kV network).
Quarter-hours during the monthly peak </t>
    </r>
    <r>
      <rPr>
        <rFont val="Arial"/>
        <b/>
        <i/>
        <color rgb="FFB7B7B7"/>
      </rPr>
      <t>demand-reduction period</t>
    </r>
    <r>
      <rPr>
        <rFont val="Arial"/>
        <i/>
        <color rgb="FFB7B7B7"/>
      </rPr>
      <t xml:space="preserve"> (April to September, weekends, 10 a.m. to 7 p.m.) are excluded from the monthly peak calculation.</t>
    </r>
  </si>
  <si>
    <r>
      <rPr>
        <rFont val="Arial"/>
        <i/>
        <color rgb="FFB7B7B7"/>
      </rPr>
      <t>Annual peak applied to the highest measured peak during the annual peak tariff period in the previous 12 months, a</t>
    </r>
    <r>
      <rPr>
        <rFont val="Arial"/>
        <b/>
        <i/>
        <color rgb="FFB7B7B7"/>
      </rPr>
      <t>fter excluding the 10 highest peaks</t>
    </r>
    <r>
      <rPr>
        <rFont val="Arial"/>
        <i/>
        <color rgb="FFB7B7B7"/>
      </rPr>
      <t xml:space="preserve"> measured each month (only if specifically connected to the Elia grid or DSO connected to 30/36/70-kV network).
The annual peak tariff period is defined as January to March and November to December, from 5 p.m. to 8 p.m., excluding weekends and public holidays.</t>
    </r>
  </si>
  <si>
    <t>Elia - 30-70</t>
  </si>
  <si>
    <t>High - 30-70 kV</t>
  </si>
  <si>
    <t>See above</t>
  </si>
  <si>
    <t>Elia -Transfo &lt; 30kV</t>
  </si>
  <si>
    <t>Tranformer output to MV (&lt;30 kV)</t>
  </si>
  <si>
    <t>Fluvius - 26 - 36 - Post</t>
  </si>
  <si>
    <t xml:space="preserve">&gt;26-36 kV	</t>
  </si>
  <si>
    <t>Post</t>
  </si>
  <si>
    <t>Tariffs 2026 Offtake
Tariffs 2026 Injection</t>
  </si>
  <si>
    <r>
      <rPr>
        <rFont val="Arial"/>
        <b/>
        <i/>
        <color rgb="FFB7B7B7"/>
      </rPr>
      <t>EXEMPTIONS FOR OFFTAKE
-Demand response service providers</t>
    </r>
    <r>
      <rPr>
        <rFont val="Arial"/>
        <i/>
        <color rgb="FFB7B7B7"/>
      </rPr>
      <t>: Exemption for measured quarter-hour peaks (kW) during activation or control tests that Elia performs in the context of those demand response services.
-</t>
    </r>
    <r>
      <rPr>
        <rFont val="Arial"/>
        <b/>
        <i/>
        <color rgb="FFB7B7B7"/>
      </rPr>
      <t>Stand-alone stationary storage systems</t>
    </r>
    <r>
      <rPr>
        <rFont val="Arial"/>
        <i/>
        <color rgb="FFB7B7B7"/>
      </rPr>
      <t>: 
  • 80% reduction on the contracted capacity and peak monthly tariff (exceeding capacity tariff as well but not included in these calculations)
  • 100% exemption from volumetric tariff (tariff for PSO &amp; surcharges)
-</t>
    </r>
    <r>
      <rPr>
        <rFont val="Arial"/>
        <b/>
        <i/>
        <color rgb="FFB7B7B7"/>
      </rPr>
      <t>Transit tariffs</t>
    </r>
    <r>
      <rPr>
        <rFont val="Arial"/>
        <i/>
        <color rgb="FFB7B7B7"/>
      </rPr>
      <t xml:space="preserve"> are 75% of the tariffs for the customer group to which the transit point belongs
-The </t>
    </r>
    <r>
      <rPr>
        <rFont val="Arial"/>
        <b/>
        <i/>
        <color rgb="FFB7B7B7"/>
      </rPr>
      <t xml:space="preserve">maximum tariff </t>
    </r>
    <r>
      <rPr>
        <rFont val="Arial"/>
        <i/>
        <color rgb="FFB7B7B7"/>
      </rPr>
      <t>is 0.0596319 k€/MWh, excl.tariff for exceeding access capacity, additional reactive energy offtake, data management (fixed tariff) and it is not applicable to emergency power supplies, transit points, low voltage customers with analog meters and prosumers with reversing meters. Low voltage customers with peak measurement must pay a minimum contribution of €122.61/year, even if the maximum tariff applies.</t>
    </r>
  </si>
  <si>
    <t>Data mgt fee</t>
  </si>
  <si>
    <t>tariff for PSO &amp; surcharges</t>
  </si>
  <si>
    <t>Transit tariffs are 75% of the tariffs for the customer group to which the transit point belongs</t>
  </si>
  <si>
    <t>Fluvius - 26 - 36 - Grid</t>
  </si>
  <si>
    <t>Grid</t>
  </si>
  <si>
    <r>
      <rPr>
        <rFont val="Arial"/>
        <b/>
        <i/>
        <color rgb="FFB7B7B7"/>
      </rPr>
      <t xml:space="preserve">EXEMPTIONS FOR INJECTION
</t>
    </r>
    <r>
      <rPr>
        <rFont val="Arial"/>
        <i/>
        <color rgb="FFB7B7B7"/>
      </rPr>
      <t>-Small-scale decentralized production (≤10 kVA): 100% exemption from the volumetric tariff
-100% exemption from the fixed cost (data mgt) UNLESS seperate injection access point</t>
    </r>
  </si>
  <si>
    <t>Fluvius - 1-26 - Post</t>
  </si>
  <si>
    <t>&gt;1-26 kV</t>
  </si>
  <si>
    <t>Fluvius - 1-26 - Grid</t>
  </si>
  <si>
    <t>Sibelga - 1-26 - Main</t>
  </si>
  <si>
    <t>1-26 kV</t>
  </si>
  <si>
    <t>Main Supply</t>
  </si>
  <si>
    <t>Tariff 2026 
Terms of application
Simulator</t>
  </si>
  <si>
    <t>capacity rate multiplied by degression factor E1
Charged monthly based on the highest 15-minute peak power (kW) during peak hours in the past 12 months (including current month)</t>
  </si>
  <si>
    <t>fees are split into HI and LO
HI: 0.0047539
LO: 0.002852
--&gt; average taken</t>
  </si>
  <si>
    <t>Surcharges:
-Pension
-Road compensation
-Corporate tax
-PSO
-Transmission</t>
  </si>
  <si>
    <t>Backup Supply</t>
  </si>
  <si>
    <t>RESA - MT - Post</t>
  </si>
  <si>
    <t>MT</t>
  </si>
  <si>
    <t>Post (T-MT)</t>
  </si>
  <si>
    <t>Tariff 2026 Offtake
Tariff 2026 Injection</t>
  </si>
  <si>
    <r>
      <rPr>
        <rFont val="Arial"/>
        <b/>
        <i/>
        <color rgb="FFB7B7B7"/>
      </rPr>
      <t xml:space="preserve">EXEMPTIONS FOR OFFTAKE
-Emergency power supplies:  
</t>
    </r>
    <r>
      <rPr>
        <rFont val="Arial"/>
        <i/>
        <color rgb="FFB7B7B7"/>
      </rPr>
      <t xml:space="preserve">  • 100% exemption from capacity term
  • Maximum usage duration: 500 hours per year
</t>
    </r>
    <r>
      <rPr>
        <rFont val="Arial"/>
        <b/>
        <i/>
        <color rgb="FFB7B7B7"/>
      </rPr>
      <t xml:space="preserve">-Shared energy within the same building:
</t>
    </r>
    <r>
      <rPr>
        <rFont val="Arial"/>
        <i/>
        <color rgb="FFB7B7B7"/>
      </rPr>
      <t xml:space="preserve">  • 80% reduction on the proportional term (volumetric tariff) for energy shared within the same building
  • No reduction applies to residual electricity consumed
</t>
    </r>
    <r>
      <rPr>
        <rFont val="Arial"/>
        <b/>
        <i/>
        <color rgb="FFB7B7B7"/>
      </rPr>
      <t xml:space="preserve">-Flexibility activation: </t>
    </r>
    <r>
      <rPr>
        <rFont val="Arial"/>
        <i/>
        <color rgb="FFB7B7B7"/>
      </rPr>
      <t>When flexibility is activated, the capacity requested by the distribution system operator is deducted from the peak of the relevant quarter-hour</t>
    </r>
  </si>
  <si>
    <t>Calculated pro-rata based on the number of days covered by the billing period</t>
  </si>
  <si>
    <r>
      <rPr>
        <rFont val="Arial"/>
        <i/>
        <color rgb="FFB7B7B7"/>
      </rPr>
      <t xml:space="preserve">Multiply by 2/3 of 11th highest quarterly peak of the month OR (if insufficient data) multiply by 2/3 of the maximum measured peak power during the month
</t>
    </r>
    <r>
      <rPr>
        <rFont val="Arial"/>
        <i/>
        <color rgb="FF1155CC"/>
        <u/>
      </rPr>
      <t>Source</t>
    </r>
  </si>
  <si>
    <r>
      <rPr>
        <rFont val="Arial"/>
        <i/>
        <color rgb="FFB7B7B7"/>
      </rPr>
      <t xml:space="preserve">Multiply by 1/3 of highest monthly peak from the past 12 months
</t>
    </r>
    <r>
      <rPr>
        <rFont val="Arial"/>
        <i/>
        <color rgb="FF1155CC"/>
        <u/>
      </rPr>
      <t>Source</t>
    </r>
  </si>
  <si>
    <t>fees are split into HI and LO:
HI: 0.0005600
LO: 0.0002240</t>
  </si>
  <si>
    <t>Surcharges:
-PSO
-Road tax
-Corporate tax
-Other local, regional, provincial taxes
-Regulatory balances</t>
  </si>
  <si>
    <t>RESA - MT - Grid</t>
  </si>
  <si>
    <t>Grid (MT)</t>
  </si>
  <si>
    <r>
      <rPr>
        <rFont val="Arial"/>
        <b/>
        <i/>
        <color rgb="FFB7B7B7"/>
      </rPr>
      <t xml:space="preserve">EXEMPTIONS FOR INJECTION
-Production installations with anti-return device: 
</t>
    </r>
    <r>
      <rPr>
        <rFont val="Arial"/>
        <i/>
        <color rgb="FFB7B7B7"/>
      </rPr>
      <t xml:space="preserve">  • 100% exemption from injection tariffs for production installations where injection to the distribution network is made permanently technically impossible by an 'anti-return' device
</t>
    </r>
    <r>
      <rPr>
        <rFont val="Arial"/>
        <b/>
        <i/>
        <color rgb="FFB7B7B7"/>
      </rPr>
      <t xml:space="preserve">-Electricity storage installations: 
</t>
    </r>
    <r>
      <rPr>
        <rFont val="Arial"/>
        <i/>
        <color rgb="FFB7B7B7"/>
      </rPr>
      <t xml:space="preserve">  • 100% exemption from injection tariffs
  • When a production installation is connected downstream of the same access point as a storage installation (and injection is not made permanently technically impossible), only the storage installation benefits from this exemption - the production installation must still pay injection tariffs</t>
    </r>
  </si>
  <si>
    <t>fees are split into HI and LO:
HI: 0.0071277
LO: 0.0028511</t>
  </si>
  <si>
    <t>ORES - MT - Post</t>
  </si>
  <si>
    <r>
      <rPr>
        <rFont val="Arial"/>
        <b/>
        <i/>
        <color rgb="FFB7B7B7"/>
      </rPr>
      <t xml:space="preserve">EXEMPTIONS FOR OFFTAKE
-Emergency power supplies:  
</t>
    </r>
    <r>
      <rPr>
        <rFont val="Arial"/>
        <i/>
        <color rgb="FFB7B7B7"/>
      </rPr>
      <t xml:space="preserve">  • 100% exemption from capacity term
  • Maximum usage duration: 500 hours per year
</t>
    </r>
    <r>
      <rPr>
        <rFont val="Arial"/>
        <b/>
        <i/>
        <color rgb="FFB7B7B7"/>
      </rPr>
      <t xml:space="preserve">-Shared energy within the same building:
</t>
    </r>
    <r>
      <rPr>
        <rFont val="Arial"/>
        <i/>
        <color rgb="FFB7B7B7"/>
      </rPr>
      <t xml:space="preserve">  • 80% reduction on the proportional term (volumetric tariff) for energy shared within the same building
  • No reduction applies to residual electricity consumed
</t>
    </r>
    <r>
      <rPr>
        <rFont val="Arial"/>
        <b/>
        <i/>
        <color rgb="FFB7B7B7"/>
      </rPr>
      <t xml:space="preserve">-Flexibility activation: </t>
    </r>
    <r>
      <rPr>
        <rFont val="Arial"/>
        <i/>
        <color rgb="FFB7B7B7"/>
      </rPr>
      <t xml:space="preserve">When flexibility is activated, the capacity requested by the distribution system operator is deducted from the peak of the relevant quarter-hour
</t>
    </r>
    <r>
      <rPr>
        <rFont val="Arial"/>
        <b/>
        <i/>
        <color rgb="FFB7B7B7"/>
      </rPr>
      <t xml:space="preserve">-Electricity storage installations:
</t>
    </r>
    <r>
      <rPr>
        <rFont val="Arial"/>
        <i/>
        <color rgb="FFB7B7B7"/>
      </rPr>
      <t xml:space="preserve">  • PSO tariff based on net active energy consumed over a calendar year (not gross consumption)
  • Surcharges tariff based on net active energy consumed over a calendar year (not gross consumption)
  • Correction and reimbursement processed in January of year Y+1</t>
    </r>
  </si>
  <si>
    <r>
      <rPr>
        <rFont val="Arial"/>
        <i/>
        <color rgb="FFB7B7B7"/>
      </rPr>
      <t xml:space="preserve">Multiply by 2/3 of 11th highest quarterly peak of the month OR (if insufficient data) multiply by 2/3 of the maximum measured peak power during the month
</t>
    </r>
    <r>
      <rPr>
        <rFont val="Arial"/>
        <i/>
        <color rgb="FF1155CC"/>
        <u/>
      </rPr>
      <t>Source</t>
    </r>
  </si>
  <si>
    <r>
      <rPr>
        <rFont val="Arial"/>
        <i/>
        <color rgb="FFB7B7B7"/>
      </rPr>
      <t xml:space="preserve">Multiply by 1/3 of highest monthly peak from the past 12 months
</t>
    </r>
    <r>
      <rPr>
        <rFont val="Arial"/>
        <i/>
        <color rgb="FF1155CC"/>
        <u/>
      </rPr>
      <t>Source</t>
    </r>
  </si>
  <si>
    <t>fees are split into HI and LO:
HI: 0.0001695
LO: 0.0000881</t>
  </si>
  <si>
    <t>ORES - MT - Grid</t>
  </si>
  <si>
    <r>
      <rPr>
        <rFont val="Arial"/>
        <b/>
        <i/>
        <color rgb="FFB7B7B7"/>
      </rPr>
      <t xml:space="preserve">EXEMPTIONS FOR INJECTION
-Production installations with anti-return device: 
</t>
    </r>
    <r>
      <rPr>
        <rFont val="Arial"/>
        <i/>
        <color rgb="FFB7B7B7"/>
      </rPr>
      <t xml:space="preserve">  • 100% exemption from injection tariffs for production installations where injection to the distribution network is made permanently technically impossible by an 'anti-return' device
</t>
    </r>
    <r>
      <rPr>
        <rFont val="Arial"/>
        <b/>
        <i/>
        <color rgb="FFB7B7B7"/>
      </rPr>
      <t xml:space="preserve">-Electricity storage installations: 
</t>
    </r>
    <r>
      <rPr>
        <rFont val="Arial"/>
        <i/>
        <color rgb="FFB7B7B7"/>
      </rPr>
      <t xml:space="preserve">  • 100% exemption from injection tariffs
  • When a production installation is connected downstream of the same access point as a storage installation (and injection is not made permanently technically impossible), only the storage installation benefits from this exemption - the production installation must still pay injection tariffs</t>
    </r>
  </si>
  <si>
    <t>Assumtions</t>
  </si>
  <si>
    <t>BESS Size</t>
  </si>
  <si>
    <t>MW</t>
  </si>
  <si>
    <t>MWh</t>
  </si>
  <si>
    <t>Cycles per day</t>
  </si>
  <si>
    <t>c/day</t>
  </si>
  <si>
    <t>Efficiency</t>
  </si>
  <si>
    <t>Without exemption for BESS</t>
  </si>
  <si>
    <t>k€/MWBESS/y</t>
  </si>
  <si>
    <t>Grid connection</t>
  </si>
  <si>
    <t>Volumetric Offtake + Injection</t>
  </si>
  <si>
    <t>Offtake Peak Yearly + Monthly</t>
  </si>
  <si>
    <t>Fixed Offtake + Injection</t>
  </si>
  <si>
    <t>Total</t>
  </si>
  <si>
    <t>Peak &amp; Contracted</t>
  </si>
  <si>
    <t>Peak</t>
  </si>
  <si>
    <t>With exemption for BESS</t>
  </si>
  <si>
    <t>Without vs. With Exemptions</t>
  </si>
  <si>
    <t>Without exemtions</t>
  </si>
  <si>
    <t>With exemptions</t>
  </si>
  <si>
    <t>Key</t>
  </si>
  <si>
    <t>Injection Volumentric</t>
  </si>
  <si>
    <t>110-380 kV</t>
  </si>
  <si>
    <t>30-70 kV</t>
  </si>
  <si>
    <t>Transfo &lt; 30 kV</t>
  </si>
  <si>
    <t>Fluvius - Antwerpen - 26 - 36 - Post</t>
  </si>
  <si>
    <t>Antwerpen</t>
  </si>
  <si>
    <t>26-36 kV</t>
  </si>
  <si>
    <t>Fluvius - Antwerpen - 26 - 36 - Grid</t>
  </si>
  <si>
    <t>Fluvius - Antwerpen - 1-26 - Post</t>
  </si>
  <si>
    <t>Fluvius - Antwerpen - 1-26 - Grid</t>
  </si>
  <si>
    <t>Fluvius - Halle-Vilvoorde - 26 - 36 - Post</t>
  </si>
  <si>
    <t>Halle-Vilvoorde</t>
  </si>
  <si>
    <t>Fluvius - Halle-Vilvoorde - 26 - 36 - Grid</t>
  </si>
  <si>
    <t>Fluvius - Halle-Vilvoorde - 1-26 - Post</t>
  </si>
  <si>
    <t>Fluvius - Halle-Vilvoorde - 1-26 - Grid</t>
  </si>
  <si>
    <t>Fluvius - Kempen - 26 - 36 - Post</t>
  </si>
  <si>
    <t>Kempen</t>
  </si>
  <si>
    <t>Fluvius - Kempen - 26 - 36 - Grid</t>
  </si>
  <si>
    <t>Fluvius - Kempen - 1-26 - Post</t>
  </si>
  <si>
    <t>Fluvius - Kempen - 1-26 - Grid</t>
  </si>
  <si>
    <t>Fluvius - Limburg - 26 - 36 - Post</t>
  </si>
  <si>
    <t>Limburg</t>
  </si>
  <si>
    <t>Fluvius - Limburg - 26 - 36 - Grid</t>
  </si>
  <si>
    <t>Fluvius - Limburg - 1-26 - Post</t>
  </si>
  <si>
    <t>Fluvius - Limburg - 1-26 - Grid</t>
  </si>
  <si>
    <t>Fluvius - Midden-Vlaanderen - 26 - 36 - Post</t>
  </si>
  <si>
    <t>Midden-Vlaanderen</t>
  </si>
  <si>
    <t>Fluvius - Midden-Vlaanderen - 26 - 36 - Grid</t>
  </si>
  <si>
    <t>Fluvius - Midden-Vlaanderen - 1-26 - Post</t>
  </si>
  <si>
    <t>Fluvius - Midden-Vlaanderen - 1-26 - Grid</t>
  </si>
  <si>
    <t>Fluvius - West - 26 - 36 - Post</t>
  </si>
  <si>
    <t>West</t>
  </si>
  <si>
    <t>Fluvius - West - 26 - 36 - Grid</t>
  </si>
  <si>
    <t>Fluvius - West - 1-26 - Post</t>
  </si>
  <si>
    <t>Fluvius - West - 1-26 - Grid</t>
  </si>
  <si>
    <t>Fluvius - Zenne-Dijle - 26 - 36 - Post</t>
  </si>
  <si>
    <t>Zenne-Dijle</t>
  </si>
  <si>
    <t>Fluvius - Zenne-Dijle - 26 - 36 - Grid</t>
  </si>
  <si>
    <t>Fluvius - Zenne-Dijle - 1-26 - Post</t>
  </si>
  <si>
    <t>Fluvius - Zenne-Dijle - 1-26 - Grid</t>
  </si>
  <si>
    <t>Fluvius - Imewo - 26 - 36 - Post</t>
  </si>
  <si>
    <t>Imewo</t>
  </si>
  <si>
    <t>Fluvius - Imewo - 26 - 36 - Grid</t>
  </si>
  <si>
    <t>Fluvius - Imewo - 1-26 - Post</t>
  </si>
  <si>
    <t>Fluvius - Imewo - 1-26 - Grid</t>
  </si>
  <si>
    <t>Main</t>
  </si>
  <si>
    <t>Sibelga - 1-26 - Backup</t>
  </si>
  <si>
    <t>Backup</t>
  </si>
  <si>
    <t>Resa - MT - Post</t>
  </si>
  <si>
    <t xml:space="preserve">Post </t>
  </si>
  <si>
    <t>Resa - MT - Grid</t>
  </si>
  <si>
    <t>Ores - MT - Post</t>
  </si>
  <si>
    <t>Ores - MT - Grid</t>
  </si>
  <si>
    <t>Fee Type</t>
  </si>
  <si>
    <t>Multiplier</t>
  </si>
  <si>
    <t>Fluvius Regions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</si>
</sst>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0"/>
    <numFmt numFmtId="166" formatCode="#,##0.000"/>
    <numFmt numFmtId="167" formatCode="0.0000"/>
    <numFmt numFmtId="168" formatCode="0.000"/>
    <numFmt numFmtId="169" formatCode="#,##0.00000"/>
    <numFmt numFmtId="170" formatCode="0.0000000"/>
  </numFmts>
  <fonts count="24">
    <font>
      <sz val="10.0"/>
      <color rgb="FF000000"/>
      <name val="Arial"/>
      <scheme val="minor"/>
    </font>
    <font>
      <color theme="1"/>
      <name val="Arial"/>
    </font>
    <font>
      <b/>
      <color theme="1"/>
      <name val="Arial"/>
    </font>
    <font>
      <b/>
      <i/>
      <color rgb="FFFF0000"/>
      <name val="Arial"/>
    </font>
    <font>
      <i/>
      <color theme="1"/>
      <name val="Arial"/>
    </font>
    <font>
      <b/>
      <color theme="1"/>
      <name val="Arial"/>
      <scheme val="minor"/>
    </font>
    <font/>
    <font>
      <color theme="1"/>
      <name val="Arial"/>
      <scheme val="minor"/>
    </font>
    <font>
      <sz val="12.0"/>
      <color rgb="FF1C1C1F"/>
      <name val="&quot;TheSans Veolia&quot;"/>
    </font>
    <font>
      <b/>
      <color rgb="FFFF0000"/>
      <name val="Arial"/>
      <scheme val="minor"/>
    </font>
    <font>
      <u/>
      <color rgb="FF0000FF"/>
      <name val="Arial"/>
    </font>
    <font>
      <b/>
      <i/>
      <color theme="1"/>
      <name val="Arial"/>
    </font>
    <font>
      <color rgb="FFCCCCCC"/>
      <name val="Arial"/>
    </font>
    <font>
      <color rgb="FFB7B7B7"/>
      <name val="Arial"/>
    </font>
    <font>
      <u/>
      <color rgb="FF1155CC"/>
      <name val="Arial"/>
    </font>
    <font>
      <i/>
      <color rgb="FFB7B7B7"/>
      <name val="Arial"/>
    </font>
    <font>
      <u/>
      <color rgb="FF1155CC"/>
      <name val="Arial"/>
    </font>
    <font>
      <i/>
      <color rgb="FFCCCCCC"/>
      <name val="Arial"/>
    </font>
    <font>
      <sz val="11.0"/>
      <color theme="1"/>
      <name val="Calibri"/>
    </font>
    <font>
      <i/>
      <u/>
      <color rgb="FF0000FF"/>
      <name val="Arial"/>
    </font>
    <font>
      <u/>
      <color rgb="FF0000FF"/>
      <name val="Arial"/>
    </font>
    <font>
      <strike/>
      <color theme="1"/>
      <name val="Arial"/>
    </font>
    <font>
      <u/>
      <color rgb="FF1155CC"/>
      <name val="Arial"/>
    </font>
    <font>
      <i/>
      <color rgb="FF999999"/>
      <name val="Arial"/>
      <scheme val="minor"/>
    </font>
  </fonts>
  <fills count="19">
    <fill>
      <patternFill patternType="none"/>
    </fill>
    <fill>
      <patternFill patternType="lightGray"/>
    </fill>
    <fill>
      <patternFill patternType="solid">
        <fgColor rgb="FFCCCCCC"/>
        <bgColor rgb="FFCCCCCC"/>
      </patternFill>
    </fill>
    <fill>
      <patternFill patternType="solid">
        <fgColor rgb="FFA4C2F4"/>
        <bgColor rgb="FFA4C2F4"/>
      </patternFill>
    </fill>
    <fill>
      <patternFill patternType="solid">
        <fgColor rgb="FFC9DAF8"/>
        <bgColor rgb="FFC9DAF8"/>
      </patternFill>
    </fill>
    <fill>
      <patternFill patternType="solid">
        <fgColor rgb="FFF0F0F0"/>
        <bgColor rgb="FFF0F0F0"/>
      </patternFill>
    </fill>
    <fill>
      <patternFill patternType="solid">
        <fgColor rgb="FFFFFFFF"/>
        <bgColor rgb="FFFFFFFF"/>
      </patternFill>
    </fill>
    <fill>
      <patternFill patternType="solid">
        <fgColor rgb="FFF4CCCC"/>
        <bgColor rgb="FFF4CCCC"/>
      </patternFill>
    </fill>
    <fill>
      <patternFill patternType="solid">
        <fgColor rgb="FFD9D9D9"/>
        <bgColor rgb="FFD9D9D9"/>
      </patternFill>
    </fill>
    <fill>
      <patternFill patternType="solid">
        <fgColor rgb="FFE8F0FC"/>
        <bgColor rgb="FFE8F0FC"/>
      </patternFill>
    </fill>
    <fill>
      <patternFill patternType="solid">
        <fgColor rgb="FFD0E0F9"/>
        <bgColor rgb="FFD0E0F9"/>
      </patternFill>
    </fill>
    <fill>
      <patternFill patternType="solid">
        <fgColor rgb="FFADC9F4"/>
        <bgColor rgb="FFADC9F4"/>
      </patternFill>
    </fill>
    <fill>
      <patternFill patternType="solid">
        <fgColor rgb="FF9BBDF2"/>
        <bgColor rgb="FF9BBDF2"/>
      </patternFill>
    </fill>
    <fill>
      <patternFill patternType="solid">
        <fgColor rgb="FFB4CEF5"/>
        <bgColor rgb="FFB4CEF5"/>
      </patternFill>
    </fill>
    <fill>
      <patternFill patternType="solid">
        <fgColor rgb="FF6D9EEB"/>
        <bgColor rgb="FF6D9EEB"/>
      </patternFill>
    </fill>
    <fill>
      <patternFill patternType="solid">
        <fgColor rgb="FF90B6F0"/>
        <bgColor rgb="FF90B6F0"/>
      </patternFill>
    </fill>
    <fill>
      <patternFill patternType="solid">
        <fgColor rgb="FFB2CCF5"/>
        <bgColor rgb="FFB2CCF5"/>
      </patternFill>
    </fill>
    <fill>
      <patternFill patternType="solid">
        <fgColor rgb="FFFEFEFF"/>
        <bgColor rgb="FFFEFEFF"/>
      </patternFill>
    </fill>
    <fill>
      <patternFill patternType="solid">
        <fgColor rgb="FFC5D9F8"/>
        <bgColor rgb="FFC5D9F8"/>
      </patternFill>
    </fill>
  </fills>
  <borders count="16">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readingOrder="0" vertical="bottom"/>
    </xf>
    <xf borderId="0" fillId="0" fontId="1" numFmtId="164" xfId="0" applyAlignment="1" applyFont="1" applyNumberFormat="1">
      <alignment horizontal="left" readingOrder="0" vertical="bottom"/>
    </xf>
    <xf borderId="0" fillId="0" fontId="3" numFmtId="0" xfId="0" applyAlignment="1" applyFont="1">
      <alignment readingOrder="0" shrinkToFit="0" vertical="top" wrapText="0"/>
    </xf>
    <xf borderId="0" fillId="0" fontId="4" numFmtId="0" xfId="0" applyAlignment="1" applyFont="1">
      <alignment readingOrder="0" shrinkToFit="0" wrapText="1"/>
    </xf>
    <xf borderId="0" fillId="0" fontId="3" numFmtId="0" xfId="0" applyAlignment="1" applyFont="1">
      <alignment readingOrder="0" vertical="bottom"/>
    </xf>
    <xf borderId="0" fillId="0" fontId="5" numFmtId="0" xfId="0" applyAlignment="1" applyFont="1">
      <alignment readingOrder="0"/>
    </xf>
    <xf borderId="1" fillId="2" fontId="5" numFmtId="0" xfId="0" applyAlignment="1" applyBorder="1" applyFill="1" applyFont="1">
      <alignment readingOrder="0"/>
    </xf>
    <xf borderId="2" fillId="2" fontId="5" numFmtId="0" xfId="0" applyAlignment="1" applyBorder="1" applyFont="1">
      <alignment readingOrder="0"/>
    </xf>
    <xf borderId="1" fillId="3" fontId="5" numFmtId="0" xfId="0" applyAlignment="1" applyBorder="1" applyFill="1" applyFont="1">
      <alignment readingOrder="0"/>
    </xf>
    <xf borderId="3" fillId="0" fontId="6" numFmtId="0" xfId="0" applyBorder="1" applyFont="1"/>
    <xf borderId="2" fillId="0" fontId="6" numFmtId="0" xfId="0" applyBorder="1" applyFont="1"/>
    <xf borderId="0" fillId="0" fontId="7" numFmtId="0" xfId="0" applyAlignment="1" applyFont="1">
      <alignment readingOrder="0"/>
    </xf>
    <xf borderId="4" fillId="0" fontId="7" numFmtId="0" xfId="0" applyAlignment="1" applyBorder="1" applyFont="1">
      <alignment readingOrder="0"/>
    </xf>
    <xf borderId="5" fillId="0" fontId="7" numFmtId="0" xfId="0" applyAlignment="1" applyBorder="1" applyFont="1">
      <alignment readingOrder="0"/>
    </xf>
    <xf borderId="4" fillId="4" fontId="7" numFmtId="0" xfId="0" applyAlignment="1" applyBorder="1" applyFill="1" applyFont="1">
      <alignment readingOrder="0"/>
    </xf>
    <xf borderId="6" fillId="0" fontId="6" numFmtId="0" xfId="0" applyBorder="1" applyFont="1"/>
    <xf borderId="5" fillId="5" fontId="7" numFmtId="0" xfId="0" applyAlignment="1" applyBorder="1" applyFill="1" applyFont="1">
      <alignment readingOrder="0"/>
    </xf>
    <xf borderId="0" fillId="0" fontId="7" numFmtId="10" xfId="0" applyFont="1" applyNumberFormat="1"/>
    <xf borderId="5" fillId="6" fontId="7" numFmtId="0" xfId="0" applyAlignment="1" applyBorder="1" applyFill="1" applyFont="1">
      <alignment readingOrder="0"/>
    </xf>
    <xf borderId="7" fillId="4" fontId="7" numFmtId="0" xfId="0" applyAlignment="1" applyBorder="1" applyFont="1">
      <alignment readingOrder="0"/>
    </xf>
    <xf borderId="8" fillId="0" fontId="6" numFmtId="0" xfId="0" applyBorder="1" applyFont="1"/>
    <xf borderId="7" fillId="0" fontId="7" numFmtId="0" xfId="0" applyAlignment="1" applyBorder="1" applyFont="1">
      <alignment readingOrder="0"/>
    </xf>
    <xf borderId="9" fillId="0" fontId="7" numFmtId="0" xfId="0" applyAlignment="1" applyBorder="1" applyFont="1">
      <alignment readingOrder="0"/>
    </xf>
    <xf borderId="0" fillId="0" fontId="8" numFmtId="0" xfId="0" applyAlignment="1" applyFont="1">
      <alignment readingOrder="0"/>
    </xf>
    <xf borderId="10" fillId="2" fontId="5" numFmtId="0" xfId="0" applyAlignment="1" applyBorder="1" applyFont="1">
      <alignment readingOrder="0"/>
    </xf>
    <xf borderId="11" fillId="2" fontId="5" numFmtId="0" xfId="0" applyAlignment="1" applyBorder="1" applyFont="1">
      <alignment readingOrder="0"/>
    </xf>
    <xf borderId="12" fillId="2" fontId="5" numFmtId="0" xfId="0" applyAlignment="1" applyBorder="1" applyFont="1">
      <alignment readingOrder="0"/>
    </xf>
    <xf borderId="10" fillId="0" fontId="7" numFmtId="0" xfId="0" applyAlignment="1" applyBorder="1" applyFont="1">
      <alignment readingOrder="0"/>
    </xf>
    <xf borderId="10" fillId="0" fontId="7" numFmtId="4" xfId="0" applyBorder="1" applyFont="1" applyNumberFormat="1"/>
    <xf borderId="13" fillId="0" fontId="7" numFmtId="0" xfId="0" applyAlignment="1" applyBorder="1" applyFont="1">
      <alignment readingOrder="0"/>
    </xf>
    <xf borderId="4" fillId="0" fontId="7" numFmtId="4" xfId="0" applyBorder="1" applyFont="1" applyNumberFormat="1"/>
    <xf borderId="0" fillId="0" fontId="9" numFmtId="0" xfId="0" applyAlignment="1" applyFont="1">
      <alignment readingOrder="0"/>
    </xf>
    <xf borderId="7" fillId="0" fontId="7" numFmtId="4" xfId="0" applyBorder="1" applyFont="1" applyNumberFormat="1"/>
    <xf borderId="1" fillId="2" fontId="5" numFmtId="4" xfId="0" applyBorder="1" applyFont="1" applyNumberFormat="1"/>
    <xf borderId="14" fillId="2" fontId="5" numFmtId="0" xfId="0" applyAlignment="1" applyBorder="1" applyFont="1">
      <alignment readingOrder="0"/>
    </xf>
    <xf borderId="7" fillId="2" fontId="5" numFmtId="0" xfId="0" applyAlignment="1" applyBorder="1" applyFont="1">
      <alignment readingOrder="0"/>
    </xf>
    <xf borderId="7" fillId="2" fontId="5" numFmtId="4" xfId="0" applyBorder="1" applyFont="1" applyNumberFormat="1"/>
    <xf borderId="9" fillId="2" fontId="5" numFmtId="0" xfId="0" applyAlignment="1" applyBorder="1" applyFont="1">
      <alignment readingOrder="0"/>
    </xf>
    <xf borderId="14" fillId="2" fontId="7" numFmtId="0" xfId="0" applyAlignment="1" applyBorder="1" applyFont="1">
      <alignment readingOrder="0"/>
    </xf>
    <xf borderId="14" fillId="0" fontId="7" numFmtId="0" xfId="0" applyAlignment="1" applyBorder="1" applyFont="1">
      <alignment readingOrder="0"/>
    </xf>
    <xf borderId="14" fillId="0" fontId="7" numFmtId="0" xfId="0" applyBorder="1" applyFont="1"/>
    <xf borderId="0" fillId="0" fontId="5" numFmtId="0" xfId="0" applyFont="1"/>
    <xf borderId="0" fillId="7" fontId="5" numFmtId="0" xfId="0" applyAlignment="1" applyFill="1" applyFont="1">
      <alignment readingOrder="0"/>
    </xf>
    <xf borderId="0" fillId="7" fontId="7" numFmtId="0" xfId="0" applyAlignment="1" applyFont="1">
      <alignment readingOrder="0"/>
    </xf>
    <xf borderId="0" fillId="7" fontId="7" numFmtId="0" xfId="0" applyFont="1"/>
    <xf borderId="3" fillId="2" fontId="7" numFmtId="0" xfId="0" applyBorder="1" applyFont="1"/>
    <xf borderId="2" fillId="2" fontId="7" numFmtId="0" xfId="0" applyBorder="1" applyFont="1"/>
    <xf borderId="1" fillId="0" fontId="7" numFmtId="0" xfId="0" applyAlignment="1" applyBorder="1" applyFont="1">
      <alignment readingOrder="0"/>
    </xf>
    <xf borderId="3" fillId="0" fontId="7" numFmtId="0" xfId="0" applyAlignment="1" applyBorder="1" applyFont="1">
      <alignment readingOrder="0"/>
    </xf>
    <xf borderId="3" fillId="0" fontId="7" numFmtId="0" xfId="0" applyBorder="1" applyFont="1"/>
    <xf borderId="2" fillId="0" fontId="7" numFmtId="0" xfId="0" applyBorder="1" applyFont="1"/>
    <xf borderId="3" fillId="2" fontId="7" numFmtId="0" xfId="0" applyAlignment="1" applyBorder="1" applyFont="1">
      <alignment readingOrder="0"/>
    </xf>
    <xf borderId="0" fillId="0" fontId="5" numFmtId="0" xfId="0" applyAlignment="1" applyFont="1">
      <alignment horizontal="left" readingOrder="0" vertical="top"/>
    </xf>
    <xf borderId="14" fillId="0" fontId="5" numFmtId="0" xfId="0" applyAlignment="1" applyBorder="1" applyFont="1">
      <alignment horizontal="left" readingOrder="0" vertical="top"/>
    </xf>
    <xf borderId="3" fillId="0" fontId="7" numFmtId="0" xfId="0" applyAlignment="1" applyBorder="1" applyFont="1">
      <alignment horizontal="left" readingOrder="0" vertical="top"/>
    </xf>
    <xf borderId="15" fillId="0" fontId="7" numFmtId="0" xfId="0" applyBorder="1" applyFont="1"/>
    <xf borderId="0" fillId="0" fontId="2" numFmtId="0" xfId="0" applyAlignment="1" applyFont="1">
      <alignment vertical="top"/>
    </xf>
    <xf borderId="14" fillId="0" fontId="2" numFmtId="0" xfId="0" applyAlignment="1" applyBorder="1" applyFont="1">
      <alignment vertical="top"/>
    </xf>
    <xf borderId="3" fillId="0" fontId="1" numFmtId="0" xfId="0" applyAlignment="1" applyBorder="1" applyFont="1">
      <alignment vertical="bottom"/>
    </xf>
    <xf borderId="11" fillId="0" fontId="1" numFmtId="0" xfId="0" applyAlignment="1" applyBorder="1" applyFont="1">
      <alignment vertical="bottom"/>
    </xf>
    <xf borderId="11" fillId="0" fontId="7" numFmtId="0" xfId="0" applyBorder="1" applyFont="1"/>
    <xf borderId="12" fillId="0" fontId="7" numFmtId="0" xfId="0" applyBorder="1" applyFont="1"/>
    <xf borderId="9" fillId="0" fontId="2" numFmtId="0" xfId="0" applyAlignment="1" applyBorder="1" applyFont="1">
      <alignment vertical="top"/>
    </xf>
    <xf borderId="3" fillId="0" fontId="10" numFmtId="0" xfId="0" applyAlignment="1" applyBorder="1" applyFont="1">
      <alignment readingOrder="0" vertical="bottom"/>
    </xf>
    <xf borderId="15" fillId="0" fontId="1" numFmtId="0" xfId="0" applyAlignment="1" applyBorder="1" applyFont="1">
      <alignment vertical="bottom"/>
    </xf>
    <xf borderId="8" fillId="0" fontId="7" numFmtId="0" xfId="0" applyBorder="1" applyFont="1"/>
    <xf borderId="5" fillId="0" fontId="2" numFmtId="0" xfId="0" applyAlignment="1" applyBorder="1" applyFont="1">
      <alignment vertical="top"/>
    </xf>
    <xf borderId="9" fillId="0" fontId="6" numFmtId="0" xfId="0" applyBorder="1" applyFont="1"/>
    <xf borderId="1" fillId="2" fontId="5" numFmtId="0" xfId="0" applyAlignment="1" applyBorder="1" applyFont="1">
      <alignment readingOrder="0" vertical="top"/>
    </xf>
    <xf borderId="9" fillId="0" fontId="5" numFmtId="0" xfId="0" applyAlignment="1" applyBorder="1" applyFont="1">
      <alignment readingOrder="0" vertical="top"/>
    </xf>
    <xf borderId="15" fillId="0" fontId="7" numFmtId="0" xfId="0" applyAlignment="1" applyBorder="1" applyFont="1">
      <alignment readingOrder="0" vertical="top"/>
    </xf>
    <xf borderId="15" fillId="0" fontId="7" numFmtId="0" xfId="0" applyAlignment="1" applyBorder="1" applyFont="1">
      <alignment vertical="top"/>
    </xf>
    <xf borderId="8" fillId="0" fontId="7" numFmtId="0" xfId="0" applyAlignment="1" applyBorder="1" applyFont="1">
      <alignment vertical="top"/>
    </xf>
    <xf borderId="5" fillId="0" fontId="5" numFmtId="0" xfId="0" applyAlignment="1" applyBorder="1" applyFont="1">
      <alignment readingOrder="0" vertical="top"/>
    </xf>
    <xf borderId="8" fillId="0" fontId="7" numFmtId="0" xfId="0" applyAlignment="1" applyBorder="1" applyFont="1">
      <alignment readingOrder="0" shrinkToFit="0" vertical="top" wrapText="1"/>
    </xf>
    <xf borderId="5" fillId="0" fontId="6" numFmtId="0" xfId="0" applyBorder="1" applyFont="1"/>
    <xf borderId="12" fillId="0" fontId="7" numFmtId="0" xfId="0" applyAlignment="1" applyBorder="1" applyFont="1">
      <alignment readingOrder="0" shrinkToFit="0" vertical="top" wrapText="1"/>
    </xf>
    <xf borderId="11" fillId="0" fontId="7" numFmtId="0" xfId="0" applyAlignment="1" applyBorder="1" applyFont="1">
      <alignment readingOrder="0" vertical="top"/>
    </xf>
    <xf borderId="11" fillId="0" fontId="6" numFmtId="0" xfId="0" applyBorder="1" applyFont="1"/>
    <xf borderId="12" fillId="0" fontId="6" numFmtId="0" xfId="0" applyBorder="1" applyFont="1"/>
    <xf borderId="15" fillId="0" fontId="6" numFmtId="0" xfId="0" applyBorder="1" applyFont="1"/>
    <xf borderId="0" fillId="0" fontId="1" numFmtId="0" xfId="0" applyFont="1"/>
    <xf borderId="0" fillId="8" fontId="2" numFmtId="0" xfId="0" applyFill="1" applyFont="1"/>
    <xf borderId="0" fillId="8" fontId="1" numFmtId="0" xfId="0" applyFont="1"/>
    <xf borderId="0" fillId="0" fontId="2" numFmtId="0" xfId="0" applyAlignment="1" applyFont="1">
      <alignment horizontal="center"/>
    </xf>
    <xf borderId="0" fillId="0" fontId="1" numFmtId="0" xfId="0" applyAlignment="1" applyFont="1">
      <alignment readingOrder="0"/>
    </xf>
    <xf borderId="13" fillId="4" fontId="2" numFmtId="0" xfId="0" applyBorder="1" applyFont="1"/>
    <xf borderId="13" fillId="4" fontId="2" numFmtId="0" xfId="0" applyAlignment="1" applyBorder="1" applyFont="1">
      <alignment shrinkToFit="0" wrapText="1"/>
    </xf>
    <xf borderId="14" fillId="4" fontId="2" numFmtId="0" xfId="0" applyBorder="1" applyFont="1"/>
    <xf borderId="13" fillId="4" fontId="11" numFmtId="0" xfId="0" applyBorder="1" applyFont="1"/>
    <xf borderId="10" fillId="4" fontId="11" numFmtId="0" xfId="0" applyBorder="1" applyFont="1"/>
    <xf borderId="4" fillId="0" fontId="1" numFmtId="0" xfId="0" applyBorder="1" applyFont="1"/>
    <xf borderId="7" fillId="0" fontId="6" numFmtId="0" xfId="0" applyBorder="1" applyFont="1"/>
    <xf borderId="6" fillId="0" fontId="1" numFmtId="0" xfId="0" applyBorder="1" applyFont="1"/>
    <xf borderId="14" fillId="0" fontId="1" numFmtId="0" xfId="0" applyBorder="1" applyFont="1"/>
    <xf borderId="14" fillId="0" fontId="12" numFmtId="0" xfId="0" applyBorder="1" applyFont="1"/>
    <xf borderId="14" fillId="0" fontId="13" numFmtId="0" xfId="0" applyBorder="1" applyFont="1"/>
    <xf borderId="1" fillId="0" fontId="13" numFmtId="0" xfId="0" applyBorder="1" applyFont="1"/>
    <xf borderId="6" fillId="0" fontId="1" numFmtId="0" xfId="0" applyAlignment="1" applyBorder="1" applyFont="1">
      <alignment vertical="bottom"/>
    </xf>
    <xf borderId="6" fillId="0" fontId="2" numFmtId="0" xfId="0" applyBorder="1" applyFont="1"/>
    <xf borderId="5" fillId="0" fontId="1" numFmtId="0" xfId="0" applyBorder="1" applyFont="1"/>
    <xf borderId="6" fillId="0" fontId="14" numFmtId="165" xfId="0" applyAlignment="1" applyBorder="1" applyFont="1" applyNumberFormat="1">
      <alignment shrinkToFit="0" wrapText="1"/>
    </xf>
    <xf borderId="6" fillId="0" fontId="1" numFmtId="165" xfId="0" applyBorder="1" applyFont="1" applyNumberFormat="1"/>
    <xf borderId="6" fillId="0" fontId="4" numFmtId="165" xfId="0" applyAlignment="1" applyBorder="1" applyFont="1" applyNumberFormat="1">
      <alignment shrinkToFit="0" vertical="top" wrapText="1"/>
    </xf>
    <xf borderId="5" fillId="9" fontId="1" numFmtId="165" xfId="0" applyAlignment="1" applyBorder="1" applyFill="1" applyFont="1" applyNumberFormat="1">
      <alignment horizontal="right"/>
    </xf>
    <xf borderId="0" fillId="0" fontId="1" numFmtId="166" xfId="0" applyFont="1" applyNumberFormat="1"/>
    <xf borderId="6" fillId="0" fontId="1" numFmtId="166" xfId="0" applyBorder="1" applyFont="1" applyNumberFormat="1"/>
    <xf borderId="0" fillId="0" fontId="1" numFmtId="167" xfId="0" applyFont="1" applyNumberFormat="1"/>
    <xf borderId="0" fillId="0" fontId="15" numFmtId="0" xfId="0" applyAlignment="1" applyFont="1">
      <alignment shrinkToFit="0" wrapText="1"/>
    </xf>
    <xf borderId="0" fillId="0" fontId="1" numFmtId="168" xfId="0" applyFont="1" applyNumberFormat="1"/>
    <xf borderId="5" fillId="10" fontId="1" numFmtId="165" xfId="0" applyAlignment="1" applyBorder="1" applyFill="1" applyFont="1" applyNumberFormat="1">
      <alignment horizontal="right"/>
    </xf>
    <xf borderId="0" fillId="0" fontId="15" numFmtId="0" xfId="0" applyFont="1"/>
    <xf borderId="8" fillId="0" fontId="1" numFmtId="0" xfId="0" applyAlignment="1" applyBorder="1" applyFont="1">
      <alignment vertical="bottom"/>
    </xf>
    <xf borderId="8" fillId="0" fontId="1" numFmtId="0" xfId="0" applyBorder="1" applyFont="1"/>
    <xf borderId="15" fillId="0" fontId="1" numFmtId="0" xfId="0" applyAlignment="1" applyBorder="1" applyFont="1">
      <alignment shrinkToFit="0" wrapText="1"/>
    </xf>
    <xf borderId="9" fillId="0" fontId="1" numFmtId="0" xfId="0" applyBorder="1" applyFont="1"/>
    <xf borderId="8" fillId="0" fontId="1" numFmtId="165" xfId="0" applyBorder="1" applyFont="1" applyNumberFormat="1"/>
    <xf borderId="8" fillId="0" fontId="15" numFmtId="165" xfId="0" applyBorder="1" applyFont="1" applyNumberFormat="1"/>
    <xf borderId="9" fillId="11" fontId="1" numFmtId="165" xfId="0" applyAlignment="1" applyBorder="1" applyFill="1" applyFont="1" applyNumberFormat="1">
      <alignment horizontal="right"/>
    </xf>
    <xf borderId="15" fillId="0" fontId="1" numFmtId="166" xfId="0" applyBorder="1" applyFont="1" applyNumberFormat="1"/>
    <xf borderId="8" fillId="0" fontId="1" numFmtId="166" xfId="0" applyBorder="1" applyFont="1" applyNumberFormat="1"/>
    <xf borderId="15" fillId="0" fontId="1" numFmtId="0" xfId="0" applyBorder="1" applyFont="1"/>
    <xf borderId="15" fillId="0" fontId="15" numFmtId="0" xfId="0" applyAlignment="1" applyBorder="1" applyFont="1">
      <alignment shrinkToFit="0" wrapText="1"/>
    </xf>
    <xf borderId="15" fillId="0" fontId="15" numFmtId="0" xfId="0" applyBorder="1" applyFont="1"/>
    <xf borderId="6" fillId="0" fontId="16" numFmtId="165" xfId="0" applyAlignment="1" applyBorder="1" applyFont="1" applyNumberFormat="1">
      <alignment readingOrder="0"/>
    </xf>
    <xf borderId="6" fillId="0" fontId="15" numFmtId="165" xfId="0" applyAlignment="1" applyBorder="1" applyFont="1" applyNumberFormat="1">
      <alignment readingOrder="0" shrinkToFit="0" vertical="top" wrapText="1"/>
    </xf>
    <xf borderId="5" fillId="12" fontId="1" numFmtId="165" xfId="0" applyAlignment="1" applyBorder="1" applyFill="1" applyFont="1" applyNumberFormat="1">
      <alignment horizontal="right"/>
    </xf>
    <xf borderId="0" fillId="0" fontId="1" numFmtId="166" xfId="0" applyAlignment="1" applyFont="1" applyNumberFormat="1">
      <alignment horizontal="right" readingOrder="0"/>
    </xf>
    <xf borderId="0" fillId="0" fontId="17" numFmtId="166" xfId="0" applyAlignment="1" applyFont="1" applyNumberFormat="1">
      <alignment horizontal="right"/>
    </xf>
    <xf borderId="0" fillId="6" fontId="18" numFmtId="169" xfId="0" applyAlignment="1" applyFont="1" applyNumberFormat="1">
      <alignment horizontal="right" readingOrder="0"/>
    </xf>
    <xf borderId="6" fillId="0" fontId="1" numFmtId="166" xfId="0" applyAlignment="1" applyBorder="1" applyFont="1" applyNumberFormat="1">
      <alignment horizontal="right" readingOrder="0"/>
    </xf>
    <xf borderId="6" fillId="0" fontId="1" numFmtId="167" xfId="0" applyAlignment="1" applyBorder="1" applyFont="1" applyNumberFormat="1">
      <alignment horizontal="right" readingOrder="0"/>
    </xf>
    <xf borderId="0" fillId="0" fontId="1" numFmtId="167" xfId="0" applyAlignment="1" applyFont="1" applyNumberFormat="1">
      <alignment horizontal="right" readingOrder="0"/>
    </xf>
    <xf borderId="0" fillId="0" fontId="1" numFmtId="0" xfId="0" applyAlignment="1" applyFont="1">
      <alignment horizontal="right"/>
    </xf>
    <xf borderId="6" fillId="0" fontId="1" numFmtId="165" xfId="0" applyAlignment="1" applyBorder="1" applyFont="1" applyNumberFormat="1">
      <alignment readingOrder="0"/>
    </xf>
    <xf borderId="5" fillId="13" fontId="1" numFmtId="165" xfId="0" applyAlignment="1" applyBorder="1" applyFill="1" applyFont="1" applyNumberFormat="1">
      <alignment horizontal="right"/>
    </xf>
    <xf borderId="6" fillId="0" fontId="15" numFmtId="165" xfId="0" applyAlignment="1" applyBorder="1" applyFont="1" applyNumberFormat="1">
      <alignment vertical="top"/>
    </xf>
    <xf borderId="8" fillId="0" fontId="15" numFmtId="165" xfId="0" applyAlignment="1" applyBorder="1" applyFont="1" applyNumberFormat="1">
      <alignment vertical="top"/>
    </xf>
    <xf borderId="9" fillId="14" fontId="1" numFmtId="165" xfId="0" applyAlignment="1" applyBorder="1" applyFill="1" applyFont="1" applyNumberFormat="1">
      <alignment horizontal="right"/>
    </xf>
    <xf borderId="15" fillId="0" fontId="1" numFmtId="166" xfId="0" applyAlignment="1" applyBorder="1" applyFont="1" applyNumberFormat="1">
      <alignment horizontal="right" readingOrder="0"/>
    </xf>
    <xf borderId="15" fillId="0" fontId="17" numFmtId="166" xfId="0" applyAlignment="1" applyBorder="1" applyFont="1" applyNumberFormat="1">
      <alignment horizontal="right"/>
    </xf>
    <xf borderId="15" fillId="6" fontId="18" numFmtId="169" xfId="0" applyAlignment="1" applyBorder="1" applyFont="1" applyNumberFormat="1">
      <alignment horizontal="right" readingOrder="0"/>
    </xf>
    <xf borderId="8" fillId="0" fontId="1" numFmtId="166" xfId="0" applyAlignment="1" applyBorder="1" applyFont="1" applyNumberFormat="1">
      <alignment horizontal="right" readingOrder="0"/>
    </xf>
    <xf borderId="8" fillId="0" fontId="1" numFmtId="167" xfId="0" applyAlignment="1" applyBorder="1" applyFont="1" applyNumberFormat="1">
      <alignment horizontal="right" readingOrder="0"/>
    </xf>
    <xf borderId="15" fillId="0" fontId="1" numFmtId="167" xfId="0" applyBorder="1" applyFont="1" applyNumberFormat="1"/>
    <xf borderId="15" fillId="0" fontId="1" numFmtId="167" xfId="0" applyAlignment="1" applyBorder="1" applyFont="1" applyNumberFormat="1">
      <alignment horizontal="right" readingOrder="0"/>
    </xf>
    <xf borderId="15" fillId="0" fontId="1" numFmtId="0" xfId="0" applyAlignment="1" applyBorder="1" applyFont="1">
      <alignment horizontal="right"/>
    </xf>
    <xf borderId="5" fillId="15" fontId="1" numFmtId="165" xfId="0" applyAlignment="1" applyBorder="1" applyFill="1" applyFont="1" applyNumberFormat="1">
      <alignment horizontal="right"/>
    </xf>
    <xf borderId="0" fillId="0" fontId="1" numFmtId="166" xfId="0" applyAlignment="1" applyFont="1" applyNumberFormat="1">
      <alignment horizontal="right"/>
    </xf>
    <xf borderId="0" fillId="0" fontId="15" numFmtId="0" xfId="0" applyAlignment="1" applyFont="1">
      <alignment readingOrder="0" shrinkToFit="0" wrapText="1"/>
    </xf>
    <xf borderId="8" fillId="0" fontId="1" numFmtId="0" xfId="0" applyAlignment="1" applyBorder="1" applyFont="1">
      <alignment readingOrder="0"/>
    </xf>
    <xf borderId="9" fillId="16" fontId="1" numFmtId="165" xfId="0" applyAlignment="1" applyBorder="1" applyFill="1" applyFont="1" applyNumberFormat="1">
      <alignment horizontal="right"/>
    </xf>
    <xf borderId="15" fillId="0" fontId="1" numFmtId="166" xfId="0" applyAlignment="1" applyBorder="1" applyFont="1" applyNumberFormat="1">
      <alignment horizontal="right"/>
    </xf>
    <xf borderId="15" fillId="0" fontId="15" numFmtId="0" xfId="0" applyAlignment="1" applyBorder="1" applyFont="1">
      <alignment readingOrder="0" shrinkToFit="0" wrapText="1"/>
    </xf>
    <xf borderId="6" fillId="0" fontId="15" numFmtId="165" xfId="0" applyAlignment="1" applyBorder="1" applyFont="1" applyNumberFormat="1">
      <alignment shrinkToFit="0" vertical="top" wrapText="1"/>
    </xf>
    <xf borderId="5" fillId="17" fontId="1" numFmtId="165" xfId="0" applyAlignment="1" applyBorder="1" applyFill="1" applyFont="1" applyNumberFormat="1">
      <alignment horizontal="right"/>
    </xf>
    <xf borderId="0" fillId="0" fontId="19" numFmtId="0" xfId="0" applyAlignment="1" applyFont="1">
      <alignment shrinkToFit="0" wrapText="1"/>
    </xf>
    <xf borderId="8" fillId="0" fontId="1" numFmtId="165" xfId="0" applyAlignment="1" applyBorder="1" applyFont="1" applyNumberFormat="1">
      <alignment readingOrder="0"/>
    </xf>
    <xf borderId="8" fillId="0" fontId="15" numFmtId="165" xfId="0" applyAlignment="1" applyBorder="1" applyFont="1" applyNumberFormat="1">
      <alignment shrinkToFit="0" vertical="top" wrapText="1"/>
    </xf>
    <xf borderId="9" fillId="18" fontId="1" numFmtId="165" xfId="0" applyAlignment="1" applyBorder="1" applyFill="1" applyFont="1" applyNumberFormat="1">
      <alignment horizontal="right"/>
    </xf>
    <xf borderId="5" fillId="0" fontId="1" numFmtId="0" xfId="0" applyAlignment="1" applyBorder="1" applyFont="1">
      <alignment readingOrder="0"/>
    </xf>
    <xf borderId="6" fillId="0" fontId="20" numFmtId="165" xfId="0" applyAlignment="1" applyBorder="1" applyFont="1" applyNumberFormat="1">
      <alignment readingOrder="0"/>
    </xf>
    <xf borderId="5" fillId="0" fontId="1" numFmtId="165" xfId="0" applyAlignment="1" applyBorder="1" applyFont="1" applyNumberFormat="1">
      <alignment horizontal="right"/>
    </xf>
    <xf borderId="9" fillId="0" fontId="1" numFmtId="0" xfId="0" applyAlignment="1" applyBorder="1" applyFont="1">
      <alignment readingOrder="0"/>
    </xf>
    <xf borderId="15" fillId="0" fontId="1" numFmtId="165" xfId="0" applyAlignment="1" applyBorder="1" applyFont="1" applyNumberFormat="1">
      <alignment readingOrder="0"/>
    </xf>
    <xf borderId="9" fillId="0" fontId="1" numFmtId="165" xfId="0" applyBorder="1" applyFont="1" applyNumberFormat="1"/>
    <xf borderId="7" fillId="0" fontId="15" numFmtId="165" xfId="0" applyAlignment="1" applyBorder="1" applyFont="1" applyNumberFormat="1">
      <alignment shrinkToFit="0" vertical="top" wrapText="1"/>
    </xf>
    <xf borderId="9" fillId="0" fontId="1" numFmtId="165" xfId="0" applyAlignment="1" applyBorder="1" applyFont="1" applyNumberFormat="1">
      <alignment horizontal="right"/>
    </xf>
    <xf borderId="15" fillId="0" fontId="4" numFmtId="0" xfId="0" applyAlignment="1" applyBorder="1" applyFont="1">
      <alignment shrinkToFit="0" wrapText="1"/>
    </xf>
    <xf borderId="0" fillId="0" fontId="2" numFmtId="0" xfId="0" applyAlignment="1" applyFont="1">
      <alignment readingOrder="0" vertical="bottom"/>
    </xf>
    <xf borderId="0" fillId="0" fontId="4" numFmtId="0" xfId="0" applyAlignment="1" applyFont="1">
      <alignment shrinkToFit="0" vertical="bottom" wrapText="0"/>
    </xf>
    <xf borderId="1" fillId="3" fontId="2" numFmtId="0" xfId="0" applyAlignment="1" applyBorder="1" applyFont="1">
      <alignment readingOrder="0" vertical="bottom"/>
    </xf>
    <xf borderId="3" fillId="3" fontId="1" numFmtId="0" xfId="0" applyAlignment="1" applyBorder="1" applyFont="1">
      <alignment vertical="bottom"/>
    </xf>
    <xf borderId="2" fillId="3" fontId="1" numFmtId="0" xfId="0" applyAlignment="1" applyBorder="1" applyFont="1">
      <alignment vertical="bottom"/>
    </xf>
    <xf borderId="4" fillId="4" fontId="1" numFmtId="0" xfId="0" applyAlignment="1" applyBorder="1" applyFont="1">
      <alignment vertical="bottom"/>
    </xf>
    <xf borderId="0" fillId="4" fontId="1" numFmtId="0" xfId="0" applyAlignment="1" applyFont="1">
      <alignment horizontal="right" vertical="bottom"/>
    </xf>
    <xf borderId="6" fillId="4" fontId="1" numFmtId="0" xfId="0" applyAlignment="1" applyBorder="1" applyFont="1">
      <alignment vertical="bottom"/>
    </xf>
    <xf borderId="0" fillId="0" fontId="1" numFmtId="0" xfId="0" applyAlignment="1" applyFont="1">
      <alignment shrinkToFit="0" vertical="bottom" wrapText="0"/>
    </xf>
    <xf borderId="0" fillId="0" fontId="1" numFmtId="2" xfId="0" applyAlignment="1" applyFont="1" applyNumberFormat="1">
      <alignment vertical="bottom"/>
    </xf>
    <xf borderId="0" fillId="0" fontId="21" numFmtId="0" xfId="0" applyAlignment="1" applyFont="1">
      <alignment vertical="bottom"/>
    </xf>
    <xf borderId="0" fillId="0" fontId="22" numFmtId="0" xfId="0" applyAlignment="1" applyFont="1">
      <alignment vertical="bottom"/>
    </xf>
    <xf borderId="0" fillId="4" fontId="1" numFmtId="0" xfId="0" applyAlignment="1" applyFont="1">
      <alignment horizontal="right" readingOrder="0" vertical="bottom"/>
    </xf>
    <xf borderId="7" fillId="4" fontId="1" numFmtId="0" xfId="0" applyAlignment="1" applyBorder="1" applyFont="1">
      <alignment vertical="bottom"/>
    </xf>
    <xf borderId="15" fillId="4" fontId="1" numFmtId="9" xfId="0" applyAlignment="1" applyBorder="1" applyFont="1" applyNumberFormat="1">
      <alignment horizontal="right" vertical="bottom"/>
    </xf>
    <xf borderId="8" fillId="4" fontId="1" numFmtId="0" xfId="0" applyAlignment="1" applyBorder="1" applyFont="1">
      <alignment vertical="bottom"/>
    </xf>
    <xf borderId="0" fillId="2" fontId="2" numFmtId="0" xfId="0" applyAlignment="1" applyFont="1">
      <alignment vertical="bottom"/>
    </xf>
    <xf borderId="0" fillId="2" fontId="1" numFmtId="0" xfId="0" applyAlignment="1" applyFont="1">
      <alignment vertical="bottom"/>
    </xf>
    <xf borderId="13" fillId="0" fontId="2" numFmtId="0" xfId="0" applyAlignment="1" applyBorder="1" applyFont="1">
      <alignment vertical="bottom"/>
    </xf>
    <xf borderId="14" fillId="0" fontId="2" numFmtId="0" xfId="0" applyAlignment="1" applyBorder="1" applyFont="1">
      <alignment vertical="bottom"/>
    </xf>
    <xf borderId="5" fillId="0" fontId="1" numFmtId="0" xfId="0" applyAlignment="1" applyBorder="1" applyFont="1">
      <alignment vertical="bottom"/>
    </xf>
    <xf borderId="5" fillId="0" fontId="1" numFmtId="3" xfId="0" applyAlignment="1" applyBorder="1" applyFont="1" applyNumberFormat="1">
      <alignment horizontal="right" vertical="bottom"/>
    </xf>
    <xf borderId="5" fillId="0" fontId="1" numFmtId="3" xfId="0" applyAlignment="1" applyBorder="1" applyFont="1" applyNumberFormat="1">
      <alignment vertical="bottom"/>
    </xf>
    <xf borderId="0" fillId="0" fontId="1" numFmtId="3" xfId="0" applyAlignment="1" applyFont="1" applyNumberFormat="1">
      <alignment horizontal="right" vertical="bottom"/>
    </xf>
    <xf borderId="0" fillId="0" fontId="1" numFmtId="3" xfId="0" applyAlignment="1" applyFont="1" applyNumberFormat="1">
      <alignment vertical="bottom"/>
    </xf>
    <xf borderId="0" fillId="0" fontId="1" numFmtId="10" xfId="0" applyAlignment="1" applyFont="1" applyNumberFormat="1">
      <alignment shrinkToFit="0" vertical="bottom" wrapText="0"/>
    </xf>
    <xf borderId="9" fillId="0" fontId="1" numFmtId="0" xfId="0" applyAlignment="1" applyBorder="1" applyFont="1">
      <alignment vertical="bottom"/>
    </xf>
    <xf borderId="9" fillId="0" fontId="1" numFmtId="3" xfId="0" applyAlignment="1" applyBorder="1" applyFont="1" applyNumberFormat="1">
      <alignment horizontal="right" vertical="bottom"/>
    </xf>
    <xf borderId="9" fillId="0" fontId="1" numFmtId="3" xfId="0" applyAlignment="1" applyBorder="1" applyFont="1" applyNumberFormat="1">
      <alignment vertical="bottom"/>
    </xf>
    <xf borderId="0" fillId="2" fontId="2" numFmtId="0" xfId="0" applyAlignment="1" applyFont="1">
      <alignment readingOrder="0" vertical="bottom"/>
    </xf>
    <xf borderId="8" fillId="0" fontId="5" numFmtId="0" xfId="0" applyAlignment="1" applyBorder="1" applyFont="1">
      <alignment readingOrder="0"/>
    </xf>
    <xf borderId="9" fillId="0" fontId="5" numFmtId="0" xfId="0" applyAlignment="1" applyBorder="1" applyFont="1">
      <alignment readingOrder="0"/>
    </xf>
    <xf borderId="8" fillId="0" fontId="23" numFmtId="0" xfId="0" applyBorder="1" applyFont="1"/>
    <xf borderId="9" fillId="0" fontId="23" numFmtId="0" xfId="0" applyAlignment="1" applyBorder="1" applyFont="1">
      <alignment horizontal="left" readingOrder="0" vertical="center"/>
    </xf>
    <xf borderId="0" fillId="0" fontId="23" numFmtId="0" xfId="0" applyFont="1"/>
    <xf borderId="6" fillId="0" fontId="2" numFmtId="0" xfId="0" applyAlignment="1" applyBorder="1" applyFont="1">
      <alignment vertical="bottom"/>
    </xf>
    <xf borderId="6" fillId="0" fontId="2" numFmtId="0" xfId="0" applyAlignment="1" applyBorder="1" applyFont="1">
      <alignment readingOrder="0" vertical="bottom"/>
    </xf>
    <xf borderId="5" fillId="0" fontId="1" numFmtId="166" xfId="0" applyBorder="1" applyFont="1" applyNumberFormat="1"/>
    <xf borderId="5" fillId="0" fontId="7" numFmtId="0" xfId="0" applyBorder="1" applyFont="1"/>
    <xf borderId="5" fillId="0" fontId="1" numFmtId="167" xfId="0" applyBorder="1" applyFont="1" applyNumberFormat="1"/>
    <xf borderId="5" fillId="0" fontId="1" numFmtId="168" xfId="0" applyBorder="1" applyFont="1" applyNumberFormat="1"/>
    <xf borderId="8" fillId="0" fontId="2" numFmtId="0" xfId="0" applyAlignment="1" applyBorder="1" applyFont="1">
      <alignment vertical="bottom"/>
    </xf>
    <xf borderId="8" fillId="0" fontId="2" numFmtId="0" xfId="0" applyAlignment="1" applyBorder="1" applyFont="1">
      <alignment readingOrder="0" vertical="bottom"/>
    </xf>
    <xf borderId="9" fillId="0" fontId="1" numFmtId="166" xfId="0" applyBorder="1" applyFont="1" applyNumberFormat="1"/>
    <xf borderId="9" fillId="0" fontId="7" numFmtId="0" xfId="0" applyBorder="1" applyFont="1"/>
    <xf borderId="0" fillId="0" fontId="1" numFmtId="169" xfId="0" applyAlignment="1" applyFont="1" applyNumberFormat="1">
      <alignment horizontal="right" readingOrder="0" vertical="bottom"/>
    </xf>
    <xf borderId="6" fillId="0" fontId="1" numFmtId="167" xfId="0" applyAlignment="1" applyBorder="1" applyFont="1" applyNumberFormat="1">
      <alignment horizontal="right" readingOrder="0" vertical="bottom"/>
    </xf>
    <xf borderId="0" fillId="0" fontId="1" numFmtId="167" xfId="0" applyAlignment="1" applyFont="1" applyNumberFormat="1">
      <alignment horizontal="right" readingOrder="0" vertical="bottom"/>
    </xf>
    <xf borderId="0" fillId="0" fontId="1" numFmtId="0" xfId="0" applyAlignment="1" applyFont="1">
      <alignment horizontal="right" vertical="bottom"/>
    </xf>
    <xf borderId="15" fillId="0" fontId="1" numFmtId="169" xfId="0" applyAlignment="1" applyBorder="1" applyFont="1" applyNumberFormat="1">
      <alignment horizontal="right" readingOrder="0" vertical="bottom"/>
    </xf>
    <xf borderId="8" fillId="0" fontId="1" numFmtId="167" xfId="0" applyAlignment="1" applyBorder="1" applyFont="1" applyNumberFormat="1">
      <alignment horizontal="right" readingOrder="0" vertical="bottom"/>
    </xf>
    <xf borderId="15" fillId="0" fontId="1" numFmtId="167" xfId="0" applyAlignment="1" applyBorder="1" applyFont="1" applyNumberFormat="1">
      <alignment horizontal="right" readingOrder="0" vertical="bottom"/>
    </xf>
    <xf borderId="15" fillId="0" fontId="1" numFmtId="0" xfId="0" applyAlignment="1" applyBorder="1" applyFont="1">
      <alignment horizontal="right" vertical="bottom"/>
    </xf>
    <xf borderId="0" fillId="0" fontId="1" numFmtId="170" xfId="0" applyAlignment="1" applyFont="1" applyNumberFormat="1">
      <alignment horizontal="right" vertical="bottom"/>
    </xf>
    <xf borderId="0" fillId="6" fontId="18" numFmtId="169" xfId="0" applyAlignment="1" applyFont="1" applyNumberFormat="1">
      <alignment horizontal="right"/>
    </xf>
    <xf borderId="15" fillId="6" fontId="18" numFmtId="169" xfId="0" applyAlignment="1" applyBorder="1" applyFont="1" applyNumberFormat="1">
      <alignment horizontal="right"/>
    </xf>
    <xf borderId="0" fillId="0" fontId="1" numFmtId="166" xfId="0" applyAlignment="1" applyFont="1" applyNumberFormat="1">
      <alignment horizontal="right" vertical="bottom"/>
    </xf>
    <xf borderId="0" fillId="6" fontId="18" numFmtId="169" xfId="0" applyAlignment="1" applyFont="1" applyNumberFormat="1">
      <alignment horizontal="right" vertical="bottom"/>
    </xf>
    <xf borderId="5" fillId="0" fontId="1" numFmtId="166" xfId="0" applyAlignment="1" applyBorder="1" applyFont="1" applyNumberFormat="1">
      <alignment horizontal="right" vertical="bottom"/>
    </xf>
    <xf borderId="6" fillId="0" fontId="1" numFmtId="167" xfId="0" applyAlignment="1" applyBorder="1" applyFont="1" applyNumberFormat="1">
      <alignment horizontal="right" vertical="bottom"/>
    </xf>
    <xf borderId="0" fillId="0" fontId="1" numFmtId="167" xfId="0" applyAlignment="1" applyFont="1" applyNumberFormat="1">
      <alignment horizontal="right" vertical="bottom"/>
    </xf>
    <xf borderId="15" fillId="0" fontId="1" numFmtId="166" xfId="0" applyAlignment="1" applyBorder="1" applyFont="1" applyNumberFormat="1">
      <alignment horizontal="right" vertical="bottom"/>
    </xf>
    <xf borderId="15" fillId="6" fontId="18" numFmtId="169" xfId="0" applyAlignment="1" applyBorder="1" applyFont="1" applyNumberFormat="1">
      <alignment horizontal="right" vertical="bottom"/>
    </xf>
    <xf borderId="9" fillId="0" fontId="1" numFmtId="166" xfId="0" applyAlignment="1" applyBorder="1" applyFont="1" applyNumberFormat="1">
      <alignment horizontal="right" vertical="bottom"/>
    </xf>
    <xf borderId="8" fillId="0" fontId="1" numFmtId="167" xfId="0" applyAlignment="1" applyBorder="1" applyFont="1" applyNumberFormat="1">
      <alignment horizontal="right" vertical="bottom"/>
    </xf>
    <xf borderId="15" fillId="0" fontId="1" numFmtId="167" xfId="0" applyAlignment="1" applyBorder="1" applyFont="1" applyNumberFormat="1">
      <alignment horizontal="right" vertical="bottom"/>
    </xf>
    <xf borderId="11" fillId="0" fontId="1" numFmtId="0" xfId="0" applyAlignment="1" applyBorder="1" applyFont="1">
      <alignment horizontal="right" vertical="bottom"/>
    </xf>
    <xf borderId="5" fillId="0" fontId="1" numFmtId="0" xfId="0" applyAlignment="1" applyBorder="1" applyFont="1">
      <alignment horizontal="right" vertical="bottom"/>
    </xf>
    <xf borderId="13" fillId="0" fontId="2" numFmtId="0" xfId="0" applyAlignment="1" applyBorder="1" applyFont="1">
      <alignment readingOrder="0" vertical="bottom"/>
    </xf>
    <xf borderId="5" fillId="0" fontId="2" numFmtId="0" xfId="0" applyAlignment="1" applyBorder="1" applyFont="1">
      <alignment readingOrder="0" vertical="bottom"/>
    </xf>
    <xf borderId="15" fillId="0" fontId="2" numFmtId="0" xfId="0" applyAlignment="1" applyBorder="1" applyFont="1">
      <alignment readingOrder="0" vertical="bottom"/>
    </xf>
    <xf borderId="9" fillId="0" fontId="2" numFmtId="0" xfId="0" applyAlignment="1" applyBorder="1" applyFont="1">
      <alignment readingOrder="0" vertical="bottom"/>
    </xf>
    <xf borderId="13" fillId="0" fontId="1" numFmtId="166" xfId="0" applyBorder="1" applyFont="1" applyNumberFormat="1"/>
    <xf borderId="13" fillId="0" fontId="7" numFmtId="0" xfId="0" applyBorder="1" applyFont="1"/>
    <xf borderId="13" fillId="0" fontId="1" numFmtId="166" xfId="0" applyAlignment="1" applyBorder="1" applyFont="1" applyNumberFormat="1">
      <alignment horizontal="right" vertical="bottom"/>
    </xf>
    <xf borderId="13" fillId="0" fontId="1" numFmtId="0" xfId="0" applyBorder="1" applyFont="1"/>
    <xf borderId="9" fillId="0" fontId="1" numFmtId="0" xfId="0" applyAlignment="1" applyBorder="1" applyFont="1">
      <alignment horizontal="right" vertical="bottom"/>
    </xf>
    <xf borderId="6" fillId="0" fontId="1" numFmtId="166" xfId="0" applyAlignment="1" applyBorder="1" applyFont="1" applyNumberFormat="1">
      <alignment horizontal="right" vertical="bottom"/>
    </xf>
    <xf borderId="5" fillId="0" fontId="1" numFmtId="0" xfId="0" applyAlignment="1" applyBorder="1" applyFont="1">
      <alignment horizontal="right" vertical="bottom"/>
    </xf>
    <xf borderId="8" fillId="0" fontId="1" numFmtId="166" xfId="0" applyAlignment="1" applyBorder="1" applyFont="1" applyNumberFormat="1">
      <alignment horizontal="right" vertical="bottom"/>
    </xf>
    <xf borderId="4" fillId="0" fontId="1" numFmtId="0" xfId="0" applyAlignment="1" applyBorder="1" applyFont="1">
      <alignment horizontal="right" vertical="bottom"/>
    </xf>
    <xf borderId="6" fillId="0" fontId="1" numFmtId="0" xfId="0" applyAlignment="1" applyBorder="1" applyFont="1">
      <alignment horizontal="right" vertical="bottom"/>
    </xf>
    <xf borderId="7" fillId="0" fontId="1" numFmtId="0" xfId="0" applyAlignment="1" applyBorder="1" applyFont="1">
      <alignment horizontal="right" vertical="bottom"/>
    </xf>
    <xf borderId="8" fillId="0" fontId="1" numFmtId="0" xfId="0" applyAlignment="1" applyBorder="1" applyFont="1">
      <alignment horizontal="right" vertical="bottom"/>
    </xf>
    <xf borderId="0" fillId="2" fontId="5"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CALCULATION WITHOUT EXEMPTIONS</a:t>
            </a:r>
          </a:p>
        </c:rich>
      </c:tx>
      <c:overlay val="0"/>
    </c:title>
    <c:plotArea>
      <c:layout>
        <c:manualLayout>
          <c:xMode val="edge"/>
          <c:yMode val="edge"/>
          <c:x val="0.14096549479166667"/>
          <c:y val="0.19382716049382717"/>
          <c:w val="0.8281178385416671"/>
          <c:h val="0.49215666699943433"/>
        </c:manualLayout>
      </c:layout>
      <c:barChart>
        <c:barDir val="col"/>
        <c:ser>
          <c:idx val="0"/>
          <c:order val="0"/>
          <c:tx>
            <c:strRef>
              <c:f>Calculator!$C$13:$C$14</c:f>
            </c:strRef>
          </c:tx>
          <c:spPr>
            <a:solidFill>
              <a:srgbClr val="1155CC"/>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Calculator!$B$15:$B$25</c:f>
            </c:strRef>
          </c:cat>
          <c:val>
            <c:numRef>
              <c:f>Calculator!$C$15:$C$25</c:f>
              <c:numCache/>
            </c:numRef>
          </c:val>
        </c:ser>
        <c:axId val="459566834"/>
        <c:axId val="1427023347"/>
      </c:barChart>
      <c:catAx>
        <c:axId val="4595668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27023347"/>
      </c:catAx>
      <c:valAx>
        <c:axId val="1427023347"/>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9566834"/>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CALCULATION WITH EXEMPTIONS FOR BESS</a:t>
            </a:r>
          </a:p>
        </c:rich>
      </c:tx>
      <c:overlay val="0"/>
    </c:title>
    <c:plotArea>
      <c:layout>
        <c:manualLayout>
          <c:xMode val="edge"/>
          <c:yMode val="edge"/>
          <c:x val="0.13267578125"/>
          <c:y val="0.19655172413793104"/>
          <c:w val="0.83357421875"/>
          <c:h val="0.4911025968497231"/>
        </c:manualLayout>
      </c:layout>
      <c:barChart>
        <c:barDir val="col"/>
        <c:ser>
          <c:idx val="0"/>
          <c:order val="0"/>
          <c:tx>
            <c:strRef>
              <c:f>Calculator!$G$13</c:f>
            </c:strRef>
          </c:tx>
          <c:spPr>
            <a:solidFill>
              <a:srgbClr val="1155CC"/>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Calculator!$F$14:$F$25</c:f>
            </c:strRef>
          </c:cat>
          <c:val>
            <c:numRef>
              <c:f>Calculator!$G$14:$G$25</c:f>
              <c:numCache/>
            </c:numRef>
          </c:val>
        </c:ser>
        <c:axId val="1751308202"/>
        <c:axId val="1933462265"/>
      </c:barChart>
      <c:catAx>
        <c:axId val="17513082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3462265"/>
      </c:catAx>
      <c:valAx>
        <c:axId val="1933462265"/>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1308202"/>
      </c:valAx>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Grid fees 1 MW/2MWh, 1.5 cycles, BESS, without exemptions</a:t>
            </a:r>
          </a:p>
        </c:rich>
      </c:tx>
      <c:overlay val="0"/>
    </c:title>
    <c:plotArea>
      <c:layout/>
      <c:barChart>
        <c:barDir val="col"/>
        <c:grouping val="stacked"/>
        <c:ser>
          <c:idx val="0"/>
          <c:order val="0"/>
          <c:tx>
            <c:strRef>
              <c:f>'BESS Example'!$E$9</c:f>
            </c:strRef>
          </c:tx>
          <c:spPr>
            <a:solidFill>
              <a:srgbClr val="1155CC"/>
            </a:solidFill>
            <a:ln cmpd="sng">
              <a:solidFill>
                <a:srgbClr val="000000"/>
              </a:solidFill>
            </a:ln>
          </c:spPr>
          <c:cat>
            <c:strRef>
              <c:f>'BESS Example'!$C$10:$C$21</c:f>
            </c:strRef>
          </c:cat>
          <c:val>
            <c:numRef>
              <c:f>'BESS Example'!$E$10:$E$21</c:f>
              <c:numCache/>
            </c:numRef>
          </c:val>
        </c:ser>
        <c:ser>
          <c:idx val="1"/>
          <c:order val="1"/>
          <c:tx>
            <c:strRef>
              <c:f>'BESS Example'!$D$9</c:f>
            </c:strRef>
          </c:tx>
          <c:spPr>
            <a:solidFill>
              <a:srgbClr val="6AA84F"/>
            </a:solidFill>
            <a:ln cmpd="sng">
              <a:solidFill>
                <a:srgbClr val="000000"/>
              </a:solidFill>
            </a:ln>
          </c:spPr>
          <c:cat>
            <c:strRef>
              <c:f>'BESS Example'!$C$10:$C$21</c:f>
            </c:strRef>
          </c:cat>
          <c:val>
            <c:numRef>
              <c:f>'BESS Example'!$D$10:$D$21</c:f>
              <c:numCache/>
            </c:numRef>
          </c:val>
        </c:ser>
        <c:ser>
          <c:idx val="2"/>
          <c:order val="2"/>
          <c:tx>
            <c:strRef>
              <c:f>'BESS Example'!$G$9</c:f>
            </c:strRef>
          </c:tx>
          <c:spPr>
            <a:solidFill>
              <a:srgbClr val="CC0000"/>
            </a:solidFill>
            <a:ln cmpd="sng">
              <a:solidFill>
                <a:srgbClr val="000000"/>
              </a:solidFill>
            </a:ln>
          </c:spPr>
          <c:cat>
            <c:strRef>
              <c:f>'BESS Example'!$C$10:$C$21</c:f>
            </c:strRef>
          </c:cat>
          <c:val>
            <c:numRef>
              <c:f>'BESS Example'!$G$10:$G$21</c:f>
              <c:numCache/>
            </c:numRef>
          </c:val>
        </c:ser>
        <c:ser>
          <c:idx val="3"/>
          <c:order val="3"/>
          <c:tx>
            <c:strRef>
              <c:f>'BESS Example'!$H$9</c:f>
            </c:strRef>
          </c:tx>
          <c:spPr>
            <a:solidFill>
              <a:srgbClr val="E06666"/>
            </a:solidFill>
            <a:ln cmpd="sng">
              <a:solidFill>
                <a:srgbClr val="000000"/>
              </a:solidFill>
            </a:ln>
          </c:spPr>
          <c:cat>
            <c:strRef>
              <c:f>'BESS Example'!$C$10:$C$21</c:f>
            </c:strRef>
          </c:cat>
          <c:val>
            <c:numRef>
              <c:f>'BESS Example'!$H$10:$H$21</c:f>
              <c:numCache/>
            </c:numRef>
          </c:val>
        </c:ser>
        <c:ser>
          <c:idx val="4"/>
          <c:order val="4"/>
          <c:tx>
            <c:strRef>
              <c:f>'BESS Example'!$F$9</c:f>
            </c:strRef>
          </c:tx>
          <c:spPr>
            <a:solidFill>
              <a:srgbClr val="E69138"/>
            </a:solidFill>
            <a:ln cmpd="sng">
              <a:solidFill>
                <a:srgbClr val="000000"/>
              </a:solidFill>
            </a:ln>
          </c:spPr>
          <c:cat>
            <c:strRef>
              <c:f>'BESS Example'!$C$10:$C$21</c:f>
            </c:strRef>
          </c:cat>
          <c:val>
            <c:numRef>
              <c:f>'BESS Example'!$F$10:$F$21</c:f>
              <c:numCache/>
            </c:numRef>
          </c:val>
        </c:ser>
        <c:overlap val="100"/>
        <c:axId val="656318261"/>
        <c:axId val="1098605549"/>
      </c:barChart>
      <c:catAx>
        <c:axId val="6563182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Grid connection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098605549"/>
      </c:catAx>
      <c:valAx>
        <c:axId val="1098605549"/>
        <c:scaling>
          <c:orientation val="minMax"/>
          <c:max val="1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631826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Grid fees 1 MW/2MWh, 1.5 cycles, BESS, with exemptions</a:t>
            </a:r>
          </a:p>
        </c:rich>
      </c:tx>
      <c:overlay val="0"/>
    </c:title>
    <c:plotArea>
      <c:layout/>
      <c:barChart>
        <c:barDir val="col"/>
        <c:grouping val="stacked"/>
        <c:ser>
          <c:idx val="0"/>
          <c:order val="0"/>
          <c:tx>
            <c:strRef>
              <c:f>'BESS Example'!$E$24</c:f>
            </c:strRef>
          </c:tx>
          <c:spPr>
            <a:solidFill>
              <a:srgbClr val="1155CC"/>
            </a:solidFill>
            <a:ln cmpd="sng">
              <a:solidFill>
                <a:srgbClr val="000000"/>
              </a:solidFill>
            </a:ln>
          </c:spPr>
          <c:cat>
            <c:strRef>
              <c:f>'BESS Example'!$C$25:$C$36</c:f>
            </c:strRef>
          </c:cat>
          <c:val>
            <c:numRef>
              <c:f>'BESS Example'!$E$25:$E$36</c:f>
              <c:numCache/>
            </c:numRef>
          </c:val>
        </c:ser>
        <c:ser>
          <c:idx val="1"/>
          <c:order val="1"/>
          <c:tx>
            <c:strRef>
              <c:f>'BESS Example'!$D$24</c:f>
            </c:strRef>
          </c:tx>
          <c:spPr>
            <a:solidFill>
              <a:srgbClr val="6AA84F"/>
            </a:solidFill>
            <a:ln cmpd="sng">
              <a:solidFill>
                <a:srgbClr val="000000"/>
              </a:solidFill>
            </a:ln>
          </c:spPr>
          <c:cat>
            <c:strRef>
              <c:f>'BESS Example'!$C$25:$C$36</c:f>
            </c:strRef>
          </c:cat>
          <c:val>
            <c:numRef>
              <c:f>'BESS Example'!$D$25:$D$36</c:f>
              <c:numCache/>
            </c:numRef>
          </c:val>
        </c:ser>
        <c:ser>
          <c:idx val="2"/>
          <c:order val="2"/>
          <c:tx>
            <c:strRef>
              <c:f>'BESS Example'!$G$24</c:f>
            </c:strRef>
          </c:tx>
          <c:spPr>
            <a:solidFill>
              <a:srgbClr val="CC0000"/>
            </a:solidFill>
            <a:ln cmpd="sng">
              <a:solidFill>
                <a:srgbClr val="000000"/>
              </a:solidFill>
            </a:ln>
          </c:spPr>
          <c:cat>
            <c:strRef>
              <c:f>'BESS Example'!$C$25:$C$36</c:f>
            </c:strRef>
          </c:cat>
          <c:val>
            <c:numRef>
              <c:f>'BESS Example'!$G$25:$G$36</c:f>
              <c:numCache/>
            </c:numRef>
          </c:val>
        </c:ser>
        <c:ser>
          <c:idx val="3"/>
          <c:order val="3"/>
          <c:tx>
            <c:strRef>
              <c:f>'BESS Example'!$H$24</c:f>
            </c:strRef>
          </c:tx>
          <c:spPr>
            <a:solidFill>
              <a:srgbClr val="E06666"/>
            </a:solidFill>
            <a:ln cmpd="sng">
              <a:solidFill>
                <a:srgbClr val="000000"/>
              </a:solidFill>
            </a:ln>
          </c:spPr>
          <c:cat>
            <c:strRef>
              <c:f>'BESS Example'!$C$25:$C$36</c:f>
            </c:strRef>
          </c:cat>
          <c:val>
            <c:numRef>
              <c:f>'BESS Example'!$H$25:$H$36</c:f>
              <c:numCache/>
            </c:numRef>
          </c:val>
        </c:ser>
        <c:ser>
          <c:idx val="4"/>
          <c:order val="4"/>
          <c:tx>
            <c:strRef>
              <c:f>'BESS Example'!$F$24</c:f>
            </c:strRef>
          </c:tx>
          <c:spPr>
            <a:solidFill>
              <a:srgbClr val="E69138"/>
            </a:solidFill>
            <a:ln cmpd="sng">
              <a:solidFill>
                <a:srgbClr val="000000"/>
              </a:solidFill>
            </a:ln>
          </c:spPr>
          <c:cat>
            <c:strRef>
              <c:f>'BESS Example'!$C$25:$C$36</c:f>
            </c:strRef>
          </c:cat>
          <c:val>
            <c:numRef>
              <c:f>'BESS Example'!$F$25:$F$36</c:f>
              <c:numCache/>
            </c:numRef>
          </c:val>
        </c:ser>
        <c:overlap val="100"/>
        <c:axId val="1949426724"/>
        <c:axId val="36035478"/>
      </c:barChart>
      <c:catAx>
        <c:axId val="19494267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6035478"/>
      </c:catAx>
      <c:valAx>
        <c:axId val="36035478"/>
        <c:scaling>
          <c:orientation val="minMax"/>
          <c:max val="1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942672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Grid fees 1 MW/2MWh, 1.5 cycles, BESS, without vs with exemptions</a:t>
            </a:r>
          </a:p>
        </c:rich>
      </c:tx>
      <c:overlay val="0"/>
    </c:title>
    <c:plotArea>
      <c:layout/>
      <c:barChart>
        <c:barDir val="col"/>
        <c:ser>
          <c:idx val="0"/>
          <c:order val="0"/>
          <c:tx>
            <c:strRef>
              <c:f>'BESS Example'!$D$39</c:f>
            </c:strRef>
          </c:tx>
          <c:spPr>
            <a:solidFill>
              <a:srgbClr val="1155CC"/>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'BESS Example'!$C$40:$C$51</c:f>
            </c:strRef>
          </c:cat>
          <c:val>
            <c:numRef>
              <c:f>'BESS Example'!$D$40:$D$51</c:f>
              <c:numCache/>
            </c:numRef>
          </c:val>
        </c:ser>
        <c:ser>
          <c:idx val="1"/>
          <c:order val="1"/>
          <c:tx>
            <c:strRef>
              <c:f>'BESS Example'!$E$39</c:f>
            </c:strRef>
          </c:tx>
          <c:spPr>
            <a:solidFill>
              <a:srgbClr val="A4C2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'BESS Example'!$C$40:$C$51</c:f>
            </c:strRef>
          </c:cat>
          <c:val>
            <c:numRef>
              <c:f>'BESS Example'!$E$40:$E$51</c:f>
              <c:numCache/>
            </c:numRef>
          </c:val>
        </c:ser>
        <c:axId val="1206386015"/>
        <c:axId val="947648357"/>
      </c:barChart>
      <c:catAx>
        <c:axId val="12063860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Grid connection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947648357"/>
      </c:catAx>
      <c:valAx>
        <c:axId val="947648357"/>
        <c:scaling>
          <c:orientation val="minMax"/>
          <c:max val="12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€k/y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6386015"/>
        <c:majorUnit val="20.0"/>
        <c:minorUnit val="6.66666666666666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542925</xdr:colOff>
      <xdr:row>0</xdr:row>
      <xdr:rowOff>114300</xdr:rowOff>
    </xdr:from>
    <xdr:ext cx="2000250" cy="561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485775</xdr:colOff>
      <xdr:row>1</xdr:row>
      <xdr:rowOff>114300</xdr:rowOff>
    </xdr:from>
    <xdr:ext cx="4305300" cy="2428875"/>
    <xdr:pic>
      <xdr:nvPicPr>
        <xdr:cNvPr id="0" name="image2.gif"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3</xdr:row>
      <xdr:rowOff>190500</xdr:rowOff>
    </xdr:from>
    <xdr:ext cx="6419850" cy="4143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1276350</xdr:colOff>
      <xdr:row>3</xdr:row>
      <xdr:rowOff>190500</xdr:rowOff>
    </xdr:from>
    <xdr:ext cx="6419850" cy="41433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161925</xdr:colOff>
      <xdr:row>7</xdr:row>
      <xdr:rowOff>171450</xdr:rowOff>
    </xdr:from>
    <xdr:ext cx="8391525" cy="25908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161925</xdr:colOff>
      <xdr:row>22</xdr:row>
      <xdr:rowOff>180975</xdr:rowOff>
    </xdr:from>
    <xdr:ext cx="8391525" cy="25908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314325</xdr:colOff>
      <xdr:row>37</xdr:row>
      <xdr:rowOff>190500</xdr:rowOff>
    </xdr:from>
    <xdr:ext cx="8391525" cy="25908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luvius.be/nl/factuur-en-tarieven/vrijstaande-stationaire-opslagsysteme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elia.be/-/media/project/elia/elia-site/customers/tarrifs-and-invoicing/20231220_tarifs-pour-acces-au-reseau-2024-2027_en.pdf" TargetMode="External"/><Relationship Id="rId2" Type="http://schemas.openxmlformats.org/officeDocument/2006/relationships/hyperlink" Target="https://www.fluvius.be/nl/factuur-en-tarieven/netkosten/netkosten-afname-elektriciteit" TargetMode="External"/><Relationship Id="rId3" Type="http://schemas.openxmlformats.org/officeDocument/2006/relationships/hyperlink" Target="https://www.sibelga.be/asset/file/6503ffc1-6e11-4336-8d32-8034c87ffeb9" TargetMode="External"/><Relationship Id="rId4" Type="http://schemas.openxmlformats.org/officeDocument/2006/relationships/hyperlink" Target="https://www.cwape.be/sites/default/files/cwape-documents/RESA%20-%20Tarifs%20p%C3%A9riodiques%20de%20pr%C3%A9l%C3%A8vement%202026.pdf" TargetMode="External"/><Relationship Id="rId10" Type="http://schemas.openxmlformats.org/officeDocument/2006/relationships/drawing" Target="../drawings/drawing5.xml"/><Relationship Id="rId9" Type="http://schemas.openxmlformats.org/officeDocument/2006/relationships/hyperlink" Target="https://business.engie.be/nl/blog/energy-market/evolutie-netwerk-tarieven-2025/" TargetMode="External"/><Relationship Id="rId5" Type="http://schemas.openxmlformats.org/officeDocument/2006/relationships/hyperlink" Target="https://business.engie.be/nl/blog/energy-market/evolutie-netwerk-tarieven-2025/" TargetMode="External"/><Relationship Id="rId6" Type="http://schemas.openxmlformats.org/officeDocument/2006/relationships/hyperlink" Target="https://business.engie.be/nl/blog/energy-market/evolutie-netwerk-tarieven-2025/" TargetMode="External"/><Relationship Id="rId7" Type="http://schemas.openxmlformats.org/officeDocument/2006/relationships/hyperlink" Target="https://drive.google.com/file/d/1ya0IO48kWoSOzH-swc1739oNC3il__cY/view" TargetMode="External"/><Relationship Id="rId8" Type="http://schemas.openxmlformats.org/officeDocument/2006/relationships/hyperlink" Target="https://business.engie.be/nl/blog/energy-market/evolutie-netwerk-tarieven-202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2" max="2" width="15.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2" t="s">
        <v>0</v>
      </c>
      <c r="C5" s="3" t="s">
        <v>1</v>
      </c>
      <c r="D5" s="1"/>
      <c r="E5" s="1"/>
      <c r="F5" s="1"/>
      <c r="G5" s="1"/>
      <c r="H5" s="1"/>
      <c r="I5" s="1"/>
      <c r="J5" s="1"/>
      <c r="K5" s="1"/>
      <c r="L5" s="1"/>
      <c r="M5" s="1"/>
      <c r="N5" s="1"/>
      <c r="O5" s="1"/>
      <c r="P5" s="1"/>
      <c r="Q5" s="1"/>
      <c r="R5" s="1"/>
      <c r="S5" s="1"/>
      <c r="T5" s="1"/>
      <c r="U5" s="1"/>
      <c r="V5" s="1"/>
      <c r="W5" s="1"/>
      <c r="X5" s="1"/>
      <c r="Y5" s="1"/>
      <c r="Z5" s="1"/>
    </row>
    <row r="6">
      <c r="A6" s="1"/>
      <c r="B6" s="2" t="s">
        <v>2</v>
      </c>
      <c r="C6" s="3" t="s">
        <v>3</v>
      </c>
      <c r="D6" s="1"/>
      <c r="E6" s="1"/>
      <c r="F6" s="1"/>
      <c r="G6" s="1"/>
      <c r="H6" s="1"/>
      <c r="I6" s="1"/>
      <c r="J6" s="1"/>
      <c r="K6" s="1"/>
      <c r="L6" s="1"/>
      <c r="M6" s="1"/>
      <c r="N6" s="1"/>
      <c r="O6" s="1"/>
      <c r="P6" s="1"/>
      <c r="Q6" s="1"/>
      <c r="R6" s="1"/>
      <c r="S6" s="1"/>
      <c r="T6" s="1"/>
      <c r="U6" s="1"/>
      <c r="V6" s="1"/>
      <c r="W6" s="1"/>
      <c r="X6" s="1"/>
      <c r="Y6" s="1"/>
      <c r="Z6" s="1"/>
    </row>
    <row r="7">
      <c r="A7" s="1"/>
      <c r="B7" s="2" t="s">
        <v>4</v>
      </c>
      <c r="C7" s="3" t="s">
        <v>5</v>
      </c>
      <c r="D7" s="1"/>
      <c r="E7" s="1"/>
      <c r="F7" s="1"/>
      <c r="G7" s="1"/>
      <c r="H7" s="1"/>
      <c r="I7" s="1"/>
      <c r="J7" s="1"/>
      <c r="K7" s="1"/>
      <c r="L7" s="1"/>
      <c r="M7" s="1"/>
      <c r="N7" s="1"/>
      <c r="O7" s="1"/>
      <c r="P7" s="1"/>
      <c r="Q7" s="1"/>
      <c r="R7" s="1"/>
      <c r="S7" s="1"/>
      <c r="T7" s="1"/>
      <c r="U7" s="1"/>
      <c r="V7" s="1"/>
      <c r="W7" s="1"/>
      <c r="X7" s="1"/>
      <c r="Y7" s="1"/>
      <c r="Z7" s="1"/>
    </row>
    <row r="8">
      <c r="A8" s="1"/>
      <c r="B8" s="2" t="s">
        <v>6</v>
      </c>
      <c r="C8" s="4">
        <v>46043.0</v>
      </c>
      <c r="D8" s="1"/>
      <c r="E8" s="1"/>
      <c r="F8" s="1"/>
      <c r="G8" s="1"/>
      <c r="H8" s="1"/>
      <c r="I8" s="1"/>
      <c r="J8" s="1"/>
      <c r="K8" s="1"/>
      <c r="L8" s="1"/>
      <c r="M8" s="1"/>
      <c r="N8" s="1"/>
      <c r="O8" s="1"/>
      <c r="P8" s="1"/>
      <c r="Q8" s="1"/>
      <c r="R8" s="1"/>
      <c r="S8" s="1"/>
      <c r="T8" s="1"/>
      <c r="U8" s="1"/>
      <c r="V8" s="1"/>
      <c r="W8" s="1"/>
      <c r="X8" s="1"/>
      <c r="Y8" s="1"/>
      <c r="Z8" s="1"/>
    </row>
    <row r="9" ht="1.5" customHeight="1">
      <c r="A9" s="1"/>
      <c r="B9" s="1"/>
      <c r="C9" s="1"/>
      <c r="D9" s="1"/>
      <c r="E9" s="1"/>
      <c r="F9" s="1"/>
      <c r="G9" s="1"/>
      <c r="H9" s="1"/>
      <c r="I9" s="1"/>
      <c r="J9" s="1"/>
      <c r="K9" s="1"/>
      <c r="L9" s="1"/>
      <c r="M9" s="1"/>
      <c r="N9" s="1"/>
      <c r="O9" s="1"/>
      <c r="P9" s="1"/>
      <c r="Q9" s="1"/>
      <c r="R9" s="1"/>
      <c r="S9" s="1"/>
      <c r="T9" s="1"/>
      <c r="U9" s="1"/>
      <c r="V9" s="1"/>
      <c r="W9" s="1"/>
      <c r="X9" s="1"/>
      <c r="Y9" s="1"/>
      <c r="Z9" s="1"/>
    </row>
    <row r="10" ht="22.5" customHeight="1">
      <c r="A10" s="1"/>
      <c r="B10" s="5" t="s">
        <v>7</v>
      </c>
      <c r="C10" s="1"/>
      <c r="D10" s="1"/>
      <c r="E10" s="1"/>
      <c r="F10" s="1"/>
      <c r="G10" s="1"/>
      <c r="H10" s="1"/>
      <c r="I10" s="1"/>
      <c r="J10" s="1"/>
      <c r="K10" s="1"/>
      <c r="L10" s="1"/>
      <c r="M10" s="1"/>
      <c r="N10" s="1"/>
      <c r="O10" s="1"/>
      <c r="P10" s="1"/>
      <c r="Q10" s="1"/>
      <c r="R10" s="1"/>
      <c r="S10" s="1"/>
      <c r="T10" s="1"/>
      <c r="U10" s="1"/>
      <c r="V10" s="1"/>
      <c r="W10" s="1"/>
      <c r="X10" s="1"/>
      <c r="Y10" s="1"/>
      <c r="Z10" s="1"/>
    </row>
    <row r="11"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8</v>
      </c>
      <c r="C12" s="1"/>
      <c r="D12" s="1"/>
      <c r="E12" s="1"/>
      <c r="F12" s="1"/>
      <c r="G12" s="1"/>
      <c r="H12" s="1"/>
      <c r="I12" s="1"/>
      <c r="J12" s="1"/>
      <c r="K12" s="1"/>
      <c r="L12" s="1"/>
      <c r="M12" s="1"/>
      <c r="N12" s="1"/>
      <c r="O12" s="1"/>
      <c r="P12" s="1"/>
      <c r="Q12" s="1"/>
      <c r="R12" s="1"/>
      <c r="S12" s="1"/>
      <c r="T12" s="1"/>
      <c r="U12" s="1"/>
      <c r="V12" s="1"/>
      <c r="W12" s="1"/>
      <c r="X12" s="1"/>
      <c r="Y12" s="1"/>
      <c r="Z12" s="1"/>
    </row>
    <row r="13">
      <c r="A13" s="1"/>
      <c r="B13" s="6" t="s">
        <v>9</v>
      </c>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7"/>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1">
    <mergeCell ref="B13:K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38"/>
    <col customWidth="1" min="2" max="2" width="32.5"/>
    <col customWidth="1" min="4" max="4" width="4.25"/>
    <col customWidth="1" min="5" max="5" width="3.13"/>
    <col customWidth="1" min="6" max="6" width="25.25"/>
    <col customWidth="1" min="7" max="7" width="12.63"/>
    <col customWidth="1" min="8" max="8" width="4.25"/>
  </cols>
  <sheetData>
    <row r="1">
      <c r="A1" s="8"/>
      <c r="B1" s="8"/>
      <c r="C1" s="8"/>
    </row>
    <row r="2">
      <c r="A2" s="8"/>
      <c r="B2" s="9" t="s">
        <v>10</v>
      </c>
      <c r="C2" s="10"/>
      <c r="F2" s="11" t="s">
        <v>11</v>
      </c>
      <c r="G2" s="12"/>
      <c r="H2" s="13"/>
    </row>
    <row r="3">
      <c r="A3" s="14"/>
      <c r="B3" s="15" t="s">
        <v>12</v>
      </c>
      <c r="C3" s="16" t="s">
        <v>13</v>
      </c>
      <c r="F3" s="17" t="s">
        <v>14</v>
      </c>
      <c r="G3" s="17">
        <f>1*2*1.5*365</f>
        <v>1095</v>
      </c>
      <c r="H3" s="18"/>
    </row>
    <row r="4">
      <c r="A4" s="14"/>
      <c r="B4" s="15" t="s">
        <v>15</v>
      </c>
      <c r="C4" s="19" t="s">
        <v>16</v>
      </c>
      <c r="E4" s="20"/>
      <c r="F4" s="17" t="s">
        <v>17</v>
      </c>
      <c r="G4" s="17">
        <v>1.0</v>
      </c>
      <c r="H4" s="18"/>
    </row>
    <row r="5">
      <c r="A5" s="14"/>
      <c r="B5" s="15" t="s">
        <v>18</v>
      </c>
      <c r="C5" s="16"/>
      <c r="E5" s="20"/>
      <c r="F5" s="17" t="s">
        <v>19</v>
      </c>
      <c r="G5" s="17">
        <v>1.0</v>
      </c>
      <c r="H5" s="18"/>
    </row>
    <row r="6">
      <c r="A6" s="14"/>
      <c r="B6" s="15" t="s">
        <v>20</v>
      </c>
      <c r="C6" s="21"/>
      <c r="F6" s="22" t="s">
        <v>21</v>
      </c>
      <c r="G6" s="22">
        <v>1.0</v>
      </c>
      <c r="H6" s="23"/>
    </row>
    <row r="7">
      <c r="A7" s="14"/>
      <c r="B7" s="15" t="s">
        <v>22</v>
      </c>
      <c r="C7" s="16">
        <v>1095.0</v>
      </c>
    </row>
    <row r="8">
      <c r="A8" s="14"/>
      <c r="B8" s="15" t="s">
        <v>23</v>
      </c>
      <c r="C8" s="16">
        <v>1027.0</v>
      </c>
    </row>
    <row r="9">
      <c r="A9" s="14"/>
      <c r="B9" s="15" t="s">
        <v>17</v>
      </c>
      <c r="C9" s="16">
        <v>1.5</v>
      </c>
    </row>
    <row r="10">
      <c r="A10" s="14"/>
      <c r="B10" s="15" t="s">
        <v>19</v>
      </c>
      <c r="C10" s="16">
        <v>1.5</v>
      </c>
    </row>
    <row r="11">
      <c r="A11" s="14"/>
      <c r="B11" s="24" t="s">
        <v>21</v>
      </c>
      <c r="C11" s="25">
        <v>1.0</v>
      </c>
    </row>
    <row r="12">
      <c r="I12" s="26"/>
    </row>
    <row r="13">
      <c r="A13" s="8"/>
      <c r="B13" s="27" t="s">
        <v>24</v>
      </c>
      <c r="C13" s="28"/>
      <c r="D13" s="29"/>
      <c r="F13" s="27" t="s">
        <v>25</v>
      </c>
      <c r="G13" s="28"/>
      <c r="H13" s="29"/>
      <c r="I13" s="26"/>
    </row>
    <row r="14">
      <c r="A14" s="14"/>
      <c r="B14" s="30" t="s">
        <v>26</v>
      </c>
      <c r="C14" s="31">
        <f>IFERROR(__xludf.DUMMYFUNCTION("IF(C6=""N/A"", 
  IFERROR(INDEX(FILTER('BACKEND Fees Database'!F:F, ('BACKEND Fees Database'!B:B=C3)*('BACKEND Fees Database'!C:C=IF(C3=""Fluvius"",C4,""""))*('BACKEND Fees Database'!D:D=C5)), 1), 0),
  IFERROR(INDEX(FILTER('BACKEND Fees Database'!F:F, ('"&amp;"BACKEND Fees Database'!B:B=C3)*('BACKEND Fees Database'!C:C=IF(C3=""Fluvius"",C4,""""))*('BACKEND Fees Database'!D:D=C5)*('BACKEND Fees Database'!E:E=C6)), 1), 0)
)
"),0.0)</f>
        <v>0</v>
      </c>
      <c r="D14" s="32" t="s">
        <v>27</v>
      </c>
      <c r="F14" s="30" t="s">
        <v>26</v>
      </c>
      <c r="G14" s="31">
        <f>IFERROR(__xludf.DUMMYFUNCTION("C14 * IFERROR(INDEX(FILTER('BACKEND BESS Exemptions'!C:C, ('BACKEND BESS Exemptions'!A:A=C3)*('BACKEND BESS Exemptions'!B:B=""Injection Fixed"")), 1), 0)"),0.0)</f>
        <v>0</v>
      </c>
      <c r="H14" s="32" t="s">
        <v>27</v>
      </c>
      <c r="I14" s="26"/>
    </row>
    <row r="15">
      <c r="A15" s="14"/>
      <c r="B15" s="15" t="s">
        <v>28</v>
      </c>
      <c r="C15" s="33">
        <f>IFERROR(__xludf.DUMMYFUNCTION("IF(C6=""N/A"",
  IFERROR(INDEX(FILTER('BACKEND Fees Database'!G:G, ('BACKEND Fees Database'!B:B=C3)*('BACKEND Fees Database'!C:C=IF(C3=""Fluvius"",C4,""""))*('BACKEND Fees Database'!D:D=C5)), 1) * C11, 0),
  IFERROR(INDEX(FILTER('BACKEND Fees Database'!G:"&amp;"G, ('BACKEND Fees Database'!B:B=C3)*('BACKEND Fees Database'!C:C=IF(C3=""Fluvius"",C4,""""))*('BACKEND Fees Database'!D:D=C5)*('BACKEND Fees Database'!E:E=C6)), 1) * C11, 0)
)
"),0.0)</f>
        <v>0</v>
      </c>
      <c r="D15" s="16" t="s">
        <v>27</v>
      </c>
      <c r="F15" s="15" t="s">
        <v>28</v>
      </c>
      <c r="G15" s="33">
        <f>IFERROR(__xludf.DUMMYFUNCTION("C15 * IFERROR(INDEX(FILTER('BACKEND BESS Exemptions'!C:C, ('BACKEND BESS Exemptions'!A:A=C3)*('BACKEND BESS Exemptions'!B:B=""Injection Contracted"")), 1), 0)
"),0.0)</f>
        <v>0</v>
      </c>
      <c r="H15" s="16" t="s">
        <v>27</v>
      </c>
      <c r="I15" s="26"/>
    </row>
    <row r="16">
      <c r="A16" s="14"/>
      <c r="B16" s="15" t="s">
        <v>29</v>
      </c>
      <c r="C16" s="33">
        <f>IFERROR(__xludf.DUMMYFUNCTION("IF(C6=""N/A"",
  IFERROR(INDEX(FILTER('BACKEND Fees Database'!H:H, ('BACKEND Fees Database'!B:B=C3)*('BACKEND Fees Database'!C:C=IF(C3=""Fluvius"",C4,""""))*('BACKEND Fees Database'!D:D=C5)), 1) * C9, 0),
  IFERROR(INDEX(FILTER('BACKEND Fees Database'!H:H"&amp;", ('BACKEND Fees Database'!B:B=C3)*('BACKEND Fees Database'!C:C=IF(C3=""Fluvius"",C4,""""))*('BACKEND Fees Database'!D:D=C5)*('BACKEND Fees Database'!E:E=C6)), 1) * C9, 0)
)
"),0.0)</f>
        <v>0</v>
      </c>
      <c r="D16" s="16" t="s">
        <v>27</v>
      </c>
      <c r="F16" s="15" t="s">
        <v>29</v>
      </c>
      <c r="G16" s="33">
        <f>IFERROR(__xludf.DUMMYFUNCTION("C16 * IFERROR(INDEX(FILTER('BACKEND BESS Exemptions'!C:C, ('BACKEND BESS Exemptions'!A:A=C3)*('BACKEND BESS Exemptions'!B:B=""Injection Peak Monthly"")), 1), 0)
"),0.0)</f>
        <v>0</v>
      </c>
      <c r="H16" s="16" t="s">
        <v>27</v>
      </c>
      <c r="I16" s="26"/>
      <c r="K16" s="34" t="s">
        <v>30</v>
      </c>
      <c r="L16" s="8"/>
    </row>
    <row r="17">
      <c r="A17" s="14"/>
      <c r="B17" s="15" t="s">
        <v>31</v>
      </c>
      <c r="C17" s="33">
        <f>IFERROR(__xludf.DUMMYFUNCTION("IF(C6=""N/A"",
  IFERROR(INDEX(FILTER('BACKEND Fees Database'!I:I, ('BACKEND Fees Database'!B:B=C3)*('BACKEND Fees Database'!C:C=IF(C3=""Fluvius"",C4,""""))*('BACKEND Fees Database'!D:D=C5)), 1) * C10, 0),
  IFERROR(INDEX(FILTER('BACKEND Fees Database'!I:"&amp;"I, ('BACKEND Fees Database'!B:B=C3)*('BACKEND Fees Database'!C:C=IF(C3=""Fluvius"",C4,""""))*('BACKEND Fees Database'!D:D=C5)*('BACKEND Fees Database'!E:E=C6)), 1) * C10, 0)
)
"),0.0)</f>
        <v>0</v>
      </c>
      <c r="D17" s="16" t="s">
        <v>27</v>
      </c>
      <c r="F17" s="15" t="s">
        <v>31</v>
      </c>
      <c r="G17" s="33">
        <f>IFERROR(__xludf.DUMMYFUNCTION("C17 * IFERROR(INDEX(FILTER('BACKEND BESS Exemptions'!C:C, ('BACKEND BESS Exemptions'!A:A=C3)*('BACKEND BESS Exemptions'!B:B=""Injection Peak Yearly"")), 1), 0)
"),0.0)</f>
        <v>0</v>
      </c>
      <c r="H17" s="16" t="s">
        <v>27</v>
      </c>
      <c r="I17" s="26"/>
    </row>
    <row r="18">
      <c r="A18" s="14"/>
      <c r="B18" s="15" t="s">
        <v>32</v>
      </c>
      <c r="C18" s="33">
        <f>IFERROR(__xludf.DUMMYFUNCTION("IF(C6=""N/A"",
  IFERROR(INDEX(FILTER('BACKEND Fees Database'!J:J, ('BACKEND Fees Database'!B:B=C3)*('BACKEND Fees Database'!C:C=IF(C3=""Fluvius"",C4,""""))*('BACKEND Fees Database'!D:D=C5)), 1) * C8, 0),
  IFERROR(INDEX(FILTER('BACKEND Fees Database'!J:J"&amp;", ('BACKEND Fees Database'!B:B=C3)*('BACKEND Fees Database'!C:C=IF(C3=""Fluvius"",C4,""""))*('BACKEND Fees Database'!D:D=C5)*('BACKEND Fees Database'!E:E=C6)), 1) * C8, 0)
)
"),0.0)</f>
        <v>0</v>
      </c>
      <c r="D18" s="16" t="s">
        <v>27</v>
      </c>
      <c r="F18" s="15" t="s">
        <v>32</v>
      </c>
      <c r="G18" s="33">
        <f>IFERROR(__xludf.DUMMYFUNCTION("C18 * IFERROR(INDEX(FILTER('BACKEND BESS Exemptions'!C:C, ('BACKEND BESS Exemptions'!A:A=C3)*('BACKEND BESS Exemptions'!B:B=""Injection Volumetric"")), 1), 0)"),0.0)</f>
        <v>0</v>
      </c>
      <c r="H18" s="16" t="s">
        <v>27</v>
      </c>
    </row>
    <row r="19">
      <c r="A19" s="14"/>
      <c r="B19" s="15" t="s">
        <v>33</v>
      </c>
      <c r="C19" s="33">
        <f>IFERROR(__xludf.DUMMYFUNCTION("IF(C6=""N/A"",
  IFERROR(INDEX(FILTER('BACKEND Fees Database'!K:K, ('BACKEND Fees Database'!B:B=C3)*('BACKEND Fees Database'!C:C=IF(C3=""Fluvius"",C4,""""))*('BACKEND Fees Database'!D:D=C5)), 1) * C8, 0),
  IFERROR(INDEX(FILTER('BACKEND Fees Database'!K:K"&amp;", ('BACKEND Fees Database'!B:B=C3)*('BACKEND Fees Database'!C:C=IF(C3=""Fluvius"",C4,""""))*('BACKEND Fees Database'!D:D=C5)*('BACKEND Fees Database'!E:E=C6)), 1) * C8, 0)
)
"),0.0)</f>
        <v>0</v>
      </c>
      <c r="D19" s="16" t="s">
        <v>27</v>
      </c>
      <c r="F19" s="15" t="s">
        <v>33</v>
      </c>
      <c r="G19" s="33">
        <f>IFERROR(__xludf.DUMMYFUNCTION("C19 * IFERROR(INDEX(FILTER('BACKEND BESS Exemptions'!C:C, ('BACKEND BESS Exemptions'!A:A=C3)*('BACKEND BESS Exemptions'!B:B=""Injection Other"")), 1), 0)"),0.0)</f>
        <v>0</v>
      </c>
      <c r="H19" s="16" t="s">
        <v>27</v>
      </c>
    </row>
    <row r="20">
      <c r="A20" s="14"/>
      <c r="B20" s="15" t="s">
        <v>34</v>
      </c>
      <c r="C20" s="33">
        <f>IFERROR(__xludf.DUMMYFUNCTION("IF(C6=""N/A"", 
  IFERROR(INDEX(FILTER('BACKEND Fees Database'!L:L, ('BACKEND Fees Database'!B:B=C3)*('BACKEND Fees Database'!C:C=IF(C3=""Fluvius"",C4,""""))*('BACKEND Fees Database'!D:D=C5)), 1), 0),
  IFERROR(INDEX(FILTER('BACKEND Fees Database'!L:L, ('"&amp;"BACKEND Fees Database'!B:B=C3)*('BACKEND Fees Database'!C:C=IF(C3=""Fluvius"",C4,""""))*('BACKEND Fees Database'!D:D=C5)*('BACKEND Fees Database'!E:E=C6)), 1), 0)
)
"),0.0)</f>
        <v>0</v>
      </c>
      <c r="D20" s="16" t="s">
        <v>27</v>
      </c>
      <c r="F20" s="15" t="s">
        <v>34</v>
      </c>
      <c r="G20" s="33">
        <f>IFERROR(__xludf.DUMMYFUNCTION("C20 * IFERROR(INDEX(FILTER('BACKEND BESS Exemptions'!C:C, ('BACKEND BESS Exemptions'!A:A=C3)*('BACKEND BESS Exemptions'!B:B=""Offtake Fixed"")), 1), 0)"),0.0)</f>
        <v>0</v>
      </c>
      <c r="H20" s="16" t="s">
        <v>27</v>
      </c>
      <c r="J20" s="8"/>
    </row>
    <row r="21">
      <c r="A21" s="14"/>
      <c r="B21" s="15" t="s">
        <v>35</v>
      </c>
      <c r="C21" s="33">
        <f>IFERROR(__xludf.DUMMYFUNCTION("IF(C6=""N/A"",
  IFERROR(INDEX(FILTER('BACKEND Fees Database'!M:M, ('BACKEND Fees Database'!B:B=C3)*('BACKEND Fees Database'!C:C=IF(C3=""Fluvius"",C4,""""))*('BACKEND Fees Database'!D:D=C5)), 1) * C11, 0),
  IFERROR(INDEX(FILTER('BACKEND Fees Database'!M:"&amp;"M, ('BACKEND Fees Database'!B:B=C3)*('BACKEND Fees Database'!C:C=IF(C3=""Fluvius"",C4,""""))*('BACKEND Fees Database'!D:D=C5)*('BACKEND Fees Database'!E:E=C6)), 1) * C11, 0)
)
"),0.0)</f>
        <v>0</v>
      </c>
      <c r="D21" s="16" t="s">
        <v>27</v>
      </c>
      <c r="F21" s="15" t="s">
        <v>35</v>
      </c>
      <c r="G21" s="33">
        <f>IFERROR(__xludf.DUMMYFUNCTION("C21 * IFERROR(INDEX(FILTER('BACKEND BESS Exemptions'!C:C, ('BACKEND BESS Exemptions'!A:A=C3)*('BACKEND BESS Exemptions'!B:B=""Offtake Contracted"")), 1), 0)"),0.0)</f>
        <v>0</v>
      </c>
      <c r="H21" s="16" t="s">
        <v>27</v>
      </c>
    </row>
    <row r="22">
      <c r="A22" s="14"/>
      <c r="B22" s="15" t="s">
        <v>36</v>
      </c>
      <c r="C22" s="33">
        <f>IFERROR(__xludf.DUMMYFUNCTION("IF(C6=""N/A"",
  IFERROR(INDEX(FILTER('BACKEND Fees Database'!N:N, ('BACKEND Fees Database'!B:B=C3)*('BACKEND Fees Database'!C:C=IF(C3=""Fluvius"",C4,""""))*('BACKEND Fees Database'!D:D=C5)), 1) * C9, 0),
  IFERROR(INDEX(FILTER('BACKEND Fees Database'!N:N"&amp;", ('BACKEND Fees Database'!B:B=C3)*('BACKEND Fees Database'!C:C=IF(C3=""Fluvius"",C4,""""))*('BACKEND Fees Database'!D:D=C5)*('BACKEND Fees Database'!E:E=C6)), 1) * C9, 0)
)
"),0.0)</f>
        <v>0</v>
      </c>
      <c r="D22" s="16" t="s">
        <v>27</v>
      </c>
      <c r="F22" s="15" t="s">
        <v>36</v>
      </c>
      <c r="G22" s="33">
        <f>IFERROR(__xludf.DUMMYFUNCTION("C22 * IFERROR(INDEX(FILTER('BACKEND BESS Exemptions'!C:C, ('BACKEND BESS Exemptions'!A:A=C3)*('BACKEND BESS Exemptions'!B:B=""Offtake Peak Monthly"")), 1), 0)"),0.0)</f>
        <v>0</v>
      </c>
      <c r="H22" s="16" t="s">
        <v>27</v>
      </c>
    </row>
    <row r="23">
      <c r="A23" s="14"/>
      <c r="B23" s="15" t="s">
        <v>37</v>
      </c>
      <c r="C23" s="33">
        <f>IFERROR(__xludf.DUMMYFUNCTION("IF(C6=""N/A"",
  IFERROR(INDEX(FILTER('BACKEND Fees Database'!O:O, ('BACKEND Fees Database'!B:B=C3)*('BACKEND Fees Database'!C:C=IF(C3=""Fluvius"",C4,""""))*('BACKEND Fees Database'!D:D=C5)), 1) * C10, 0),
  IFERROR(INDEX(FILTER('BACKEND Fees Database'!O:"&amp;"O, ('BACKEND Fees Database'!B:B=C3)*('BACKEND Fees Database'!C:C=IF(C3=""Fluvius"",C4,""""))*('BACKEND Fees Database'!D:D=C5)*('BACKEND Fees Database'!E:E=C6)), 1) * C10, 0)
)
"),0.0)</f>
        <v>0</v>
      </c>
      <c r="D23" s="16" t="s">
        <v>27</v>
      </c>
      <c r="F23" s="15" t="s">
        <v>37</v>
      </c>
      <c r="G23" s="33">
        <f>IFERROR(__xludf.DUMMYFUNCTION("C23 * IFERROR(INDEX(FILTER('BACKEND BESS Exemptions'!C:C, ('BACKEND BESS Exemptions'!A:A=C3)*('BACKEND BESS Exemptions'!B:B=""Offtake Peak Yearly"")), 1), 0)"),0.0)</f>
        <v>0</v>
      </c>
      <c r="H23" s="16" t="s">
        <v>27</v>
      </c>
    </row>
    <row r="24">
      <c r="A24" s="14"/>
      <c r="B24" s="15" t="s">
        <v>38</v>
      </c>
      <c r="C24" s="33">
        <f>IFERROR(__xludf.DUMMYFUNCTION("IF(C6=""N/A"",
  IFERROR(INDEX(FILTER('BACKEND Fees Database'!P:P, ('BACKEND Fees Database'!B:B=C3)*('BACKEND Fees Database'!C:C=IF(C3=""Fluvius"",C4,""""))*('BACKEND Fees Database'!D:D=C5)), 1) * C7, 0),
  IFERROR(INDEX(FILTER('BACKEND Fees Database'!P:P"&amp;", ('BACKEND Fees Database'!B:B=C3)*('BACKEND Fees Database'!C:C=IF(C3=""Fluvius"",C4,""""))*('BACKEND Fees Database'!D:D=C5)*('BACKEND Fees Database'!E:E=C6)), 1) * C7, 0)
)
"),0.0)</f>
        <v>0</v>
      </c>
      <c r="D24" s="16" t="s">
        <v>27</v>
      </c>
      <c r="F24" s="15" t="s">
        <v>38</v>
      </c>
      <c r="G24" s="33">
        <f>IFERROR(__xludf.DUMMYFUNCTION("C24 * IFERROR(INDEX(FILTER('BACKEND BESS Exemptions'!C:C, ('BACKEND BESS Exemptions'!A:A=C3)*('BACKEND BESS Exemptions'!B:B=""Offtake Volumetric"")), 1), 0)"),0.0)</f>
        <v>0</v>
      </c>
      <c r="H24" s="16" t="s">
        <v>27</v>
      </c>
    </row>
    <row r="25">
      <c r="A25" s="14"/>
      <c r="B25" s="15" t="s">
        <v>39</v>
      </c>
      <c r="C25" s="33">
        <f>IFERROR(__xludf.DUMMYFUNCTION("IF(C6=""N/A"",
  IFERROR(INDEX(FILTER('BACKEND Fees Database'!Q:Q, ('BACKEND Fees Database'!B:B=C3)*('BACKEND Fees Database'!C:C=IF(C3=""Fluvius"",C4,""""))*('BACKEND Fees Database'!D:D=C5)), 1) * C7, 0),
  IFERROR(INDEX(FILTER('BACKEND Fees Database'!Q:Q"&amp;", ('BACKEND Fees Database'!B:B=C3)*('BACKEND Fees Database'!C:C=IF(C3=""Fluvius"",C4,""""))*('BACKEND Fees Database'!D:D=C5)*('BACKEND Fees Database'!E:E=C6)), 1) * C7, 0)
)
"),0.0)</f>
        <v>0</v>
      </c>
      <c r="D25" s="16" t="s">
        <v>27</v>
      </c>
      <c r="F25" s="24" t="s">
        <v>39</v>
      </c>
      <c r="G25" s="35">
        <f>IFERROR(__xludf.DUMMYFUNCTION("C25 * IFERROR(INDEX(FILTER('BACKEND BESS Exemptions'!C:C, ('BACKEND BESS Exemptions'!A:A=C3)*('BACKEND BESS Exemptions'!B:B=""Offtake Other"")), 1), 0)"),0.0)</f>
        <v>0</v>
      </c>
      <c r="H25" s="25" t="s">
        <v>27</v>
      </c>
    </row>
    <row r="26">
      <c r="A26" s="8"/>
      <c r="B26" s="9" t="s">
        <v>40</v>
      </c>
      <c r="C26" s="36">
        <f>SUM(C14:C25)</f>
        <v>0</v>
      </c>
      <c r="D26" s="37" t="s">
        <v>27</v>
      </c>
      <c r="F26" s="38" t="s">
        <v>40</v>
      </c>
      <c r="G26" s="39">
        <f>SUM(G14:G25)</f>
        <v>0</v>
      </c>
      <c r="H26" s="40" t="s">
        <v>27</v>
      </c>
    </row>
  </sheetData>
  <mergeCells count="5">
    <mergeCell ref="F2:H2"/>
    <mergeCell ref="G3:H3"/>
    <mergeCell ref="G4:H4"/>
    <mergeCell ref="G5:H5"/>
    <mergeCell ref="G6:H6"/>
  </mergeCells>
  <dataValidations>
    <dataValidation type="list" allowBlank="1" showErrorMessage="1" sqref="C3">
      <formula1>"Elia,Fluvius,Sibelga,Ores,Resa"</formula1>
    </dataValidation>
    <dataValidation type="list" allowBlank="1" showErrorMessage="1" sqref="C5">
      <formula1>"110-380 kV,30-70 kV,Transfo &lt; 30 kV"</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3" max="3" width="15.88"/>
    <col customWidth="1" min="4" max="4" width="12.75"/>
    <col customWidth="1" min="5" max="6" width="13.5"/>
    <col customWidth="1" min="7" max="7" width="22.63"/>
    <col customWidth="1" min="8" max="8" width="22.38"/>
    <col customWidth="1" min="9" max="9" width="21.75"/>
    <col customWidth="1" min="10" max="10" width="21.13"/>
  </cols>
  <sheetData>
    <row r="1" ht="12.75" customHeight="1">
      <c r="C1" s="14"/>
      <c r="D1" s="14"/>
      <c r="E1" s="14"/>
      <c r="F1" s="14"/>
      <c r="G1" s="14"/>
      <c r="H1" s="14"/>
      <c r="I1" s="14"/>
    </row>
    <row r="2">
      <c r="C2" s="41" t="s">
        <v>12</v>
      </c>
      <c r="D2" s="41" t="s">
        <v>15</v>
      </c>
      <c r="E2" s="41" t="s">
        <v>18</v>
      </c>
      <c r="F2" s="41" t="s">
        <v>20</v>
      </c>
      <c r="G2" s="41" t="s">
        <v>14</v>
      </c>
      <c r="H2" s="41" t="s">
        <v>17</v>
      </c>
      <c r="I2" s="41" t="s">
        <v>19</v>
      </c>
      <c r="J2" s="41" t="s">
        <v>21</v>
      </c>
    </row>
    <row r="3">
      <c r="C3" s="42" t="str">
        <f>Calculator!C3</f>
        <v>Elia</v>
      </c>
      <c r="D3" s="42" t="str">
        <f>Calculator!C4</f>
        <v>N/A</v>
      </c>
      <c r="E3" s="42" t="str">
        <f>Calculator!C5</f>
        <v/>
      </c>
      <c r="F3" s="42" t="str">
        <f>Calculator!C6</f>
        <v/>
      </c>
      <c r="G3" s="42">
        <f>Calculator!C7</f>
        <v>1095</v>
      </c>
      <c r="H3" s="42">
        <f>Calculator!C9</f>
        <v>1.5</v>
      </c>
      <c r="I3" s="43">
        <f>Calculator!C10</f>
        <v>1.5</v>
      </c>
      <c r="J3" s="43">
        <f>Calculator!C11</f>
        <v>1</v>
      </c>
    </row>
    <row r="18">
      <c r="A18" s="4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sheetViews>
  <sheetFormatPr customHeight="1" defaultColWidth="12.63" defaultRowHeight="15.75"/>
  <cols>
    <col customWidth="1" min="1" max="1" width="3.13"/>
    <col customWidth="1" min="2" max="2" width="23.5"/>
  </cols>
  <sheetData>
    <row r="1">
      <c r="A1" s="8"/>
      <c r="B1" s="45" t="s">
        <v>41</v>
      </c>
      <c r="C1" s="46"/>
      <c r="D1" s="47"/>
    </row>
    <row r="2">
      <c r="A2" s="8"/>
      <c r="B2" s="8"/>
    </row>
    <row r="3">
      <c r="A3" s="8"/>
      <c r="B3" s="9" t="s">
        <v>42</v>
      </c>
      <c r="C3" s="48"/>
      <c r="D3" s="48"/>
      <c r="E3" s="49"/>
    </row>
    <row r="4">
      <c r="A4" s="8"/>
      <c r="B4" s="50" t="s">
        <v>43</v>
      </c>
      <c r="C4" s="51"/>
      <c r="D4" s="52"/>
      <c r="E4" s="53"/>
    </row>
    <row r="5">
      <c r="A5" s="8"/>
      <c r="B5" s="50" t="s">
        <v>44</v>
      </c>
      <c r="C5" s="51"/>
      <c r="D5" s="52"/>
      <c r="E5" s="53"/>
    </row>
    <row r="6">
      <c r="A6" s="8"/>
      <c r="B6" s="50" t="s">
        <v>45</v>
      </c>
      <c r="C6" s="51"/>
      <c r="D6" s="52"/>
      <c r="E6" s="53"/>
    </row>
    <row r="7">
      <c r="A7" s="8"/>
      <c r="B7" s="50" t="s">
        <v>46</v>
      </c>
      <c r="C7" s="51"/>
      <c r="D7" s="52"/>
      <c r="E7" s="53"/>
    </row>
    <row r="8">
      <c r="A8" s="8"/>
      <c r="B8" s="14"/>
      <c r="C8" s="14"/>
    </row>
    <row r="9">
      <c r="A9" s="8"/>
      <c r="B9" s="9" t="s">
        <v>47</v>
      </c>
      <c r="C9" s="54"/>
      <c r="D9" s="48"/>
      <c r="E9" s="48"/>
      <c r="F9" s="48"/>
      <c r="G9" s="48"/>
      <c r="H9" s="48"/>
      <c r="I9" s="48"/>
      <c r="J9" s="48"/>
      <c r="K9" s="48"/>
      <c r="L9" s="48"/>
      <c r="M9" s="48"/>
      <c r="N9" s="48"/>
      <c r="O9" s="48"/>
      <c r="P9" s="48"/>
      <c r="Q9" s="48"/>
      <c r="R9" s="49"/>
    </row>
    <row r="10">
      <c r="A10" s="55"/>
      <c r="B10" s="56" t="s">
        <v>48</v>
      </c>
      <c r="C10" s="57" t="s">
        <v>49</v>
      </c>
      <c r="D10" s="52"/>
      <c r="E10" s="52"/>
      <c r="F10" s="52"/>
      <c r="G10" s="52"/>
      <c r="H10" s="52"/>
      <c r="I10" s="52"/>
      <c r="J10" s="52"/>
      <c r="K10" s="52"/>
      <c r="L10" s="52"/>
      <c r="M10" s="52"/>
      <c r="N10" s="52"/>
      <c r="O10" s="52"/>
      <c r="P10" s="52"/>
      <c r="Q10" s="52"/>
      <c r="R10" s="53"/>
    </row>
    <row r="11">
      <c r="A11" s="55"/>
      <c r="B11" s="56" t="s">
        <v>50</v>
      </c>
      <c r="C11" s="57" t="s">
        <v>51</v>
      </c>
      <c r="D11" s="52"/>
      <c r="E11" s="52"/>
      <c r="F11" s="52"/>
      <c r="G11" s="52"/>
      <c r="H11" s="52"/>
      <c r="I11" s="52"/>
      <c r="J11" s="52"/>
      <c r="K11" s="52"/>
      <c r="L11" s="52"/>
      <c r="M11" s="52"/>
      <c r="N11" s="52"/>
      <c r="O11" s="52"/>
      <c r="P11" s="52"/>
      <c r="Q11" s="52"/>
      <c r="R11" s="53"/>
    </row>
    <row r="12">
      <c r="A12" s="55"/>
      <c r="B12" s="56" t="s">
        <v>52</v>
      </c>
      <c r="C12" s="57" t="s">
        <v>53</v>
      </c>
      <c r="D12" s="52"/>
      <c r="E12" s="52"/>
      <c r="F12" s="52"/>
      <c r="G12" s="52"/>
      <c r="H12" s="52"/>
      <c r="I12" s="52"/>
      <c r="J12" s="52"/>
      <c r="K12" s="52"/>
      <c r="L12" s="52"/>
      <c r="M12" s="52"/>
      <c r="N12" s="52"/>
      <c r="O12" s="52"/>
      <c r="P12" s="52"/>
      <c r="Q12" s="52"/>
      <c r="R12" s="53"/>
    </row>
    <row r="13">
      <c r="A13" s="55"/>
      <c r="B13" s="56" t="s">
        <v>54</v>
      </c>
      <c r="C13" s="57" t="s">
        <v>55</v>
      </c>
      <c r="D13" s="52"/>
      <c r="E13" s="52"/>
      <c r="F13" s="52"/>
      <c r="G13" s="52"/>
      <c r="H13" s="52"/>
      <c r="I13" s="52"/>
      <c r="J13" s="52"/>
      <c r="K13" s="52"/>
      <c r="L13" s="52"/>
      <c r="M13" s="52"/>
      <c r="N13" s="52"/>
      <c r="O13" s="52"/>
      <c r="P13" s="52"/>
      <c r="Q13" s="52"/>
      <c r="R13" s="53"/>
    </row>
    <row r="14">
      <c r="A14" s="55"/>
      <c r="B14" s="56" t="s">
        <v>56</v>
      </c>
      <c r="C14" s="57" t="s">
        <v>57</v>
      </c>
      <c r="D14" s="52"/>
      <c r="E14" s="52"/>
      <c r="F14" s="52"/>
      <c r="G14" s="52"/>
      <c r="H14" s="52"/>
      <c r="I14" s="52"/>
      <c r="J14" s="52"/>
      <c r="K14" s="52"/>
      <c r="L14" s="52"/>
      <c r="M14" s="52"/>
      <c r="N14" s="52"/>
      <c r="O14" s="52"/>
      <c r="P14" s="52"/>
      <c r="Q14" s="52"/>
      <c r="R14" s="53"/>
    </row>
    <row r="15">
      <c r="A15" s="55"/>
      <c r="B15" s="56" t="s">
        <v>58</v>
      </c>
      <c r="C15" s="57" t="s">
        <v>59</v>
      </c>
      <c r="D15" s="52"/>
      <c r="E15" s="52"/>
      <c r="F15" s="52"/>
      <c r="G15" s="52"/>
      <c r="H15" s="52"/>
      <c r="I15" s="52"/>
      <c r="J15" s="52"/>
      <c r="K15" s="52"/>
      <c r="L15" s="52"/>
      <c r="M15" s="52"/>
      <c r="N15" s="52"/>
      <c r="O15" s="52"/>
      <c r="P15" s="52"/>
      <c r="Q15" s="52"/>
      <c r="R15" s="53"/>
    </row>
    <row r="16">
      <c r="A16" s="55"/>
      <c r="B16" s="56" t="s">
        <v>60</v>
      </c>
      <c r="C16" s="57" t="s">
        <v>61</v>
      </c>
      <c r="D16" s="52"/>
      <c r="E16" s="52"/>
      <c r="F16" s="52"/>
      <c r="G16" s="52"/>
      <c r="H16" s="52"/>
      <c r="I16" s="52"/>
      <c r="J16" s="52"/>
      <c r="K16" s="52"/>
      <c r="L16" s="52"/>
      <c r="M16" s="52"/>
      <c r="N16" s="52"/>
      <c r="O16" s="52"/>
      <c r="P16" s="52"/>
      <c r="Q16" s="52"/>
      <c r="R16" s="53"/>
    </row>
    <row r="17">
      <c r="A17" s="55"/>
      <c r="B17" s="56" t="s">
        <v>60</v>
      </c>
      <c r="C17" s="57" t="s">
        <v>61</v>
      </c>
      <c r="D17" s="52"/>
      <c r="E17" s="52"/>
      <c r="F17" s="52"/>
      <c r="G17" s="52"/>
      <c r="H17" s="52"/>
      <c r="I17" s="52"/>
      <c r="J17" s="52"/>
      <c r="K17" s="52"/>
      <c r="L17" s="52"/>
      <c r="M17" s="52"/>
      <c r="N17" s="52"/>
      <c r="O17" s="52"/>
      <c r="P17" s="52"/>
      <c r="Q17" s="52"/>
      <c r="R17" s="53"/>
    </row>
    <row r="18">
      <c r="A18" s="55"/>
      <c r="B18" s="56" t="s">
        <v>62</v>
      </c>
      <c r="C18" s="57" t="s">
        <v>59</v>
      </c>
      <c r="D18" s="52"/>
      <c r="E18" s="52"/>
      <c r="F18" s="52"/>
      <c r="G18" s="52"/>
      <c r="H18" s="52"/>
      <c r="I18" s="52"/>
      <c r="J18" s="52"/>
      <c r="K18" s="52"/>
      <c r="L18" s="52"/>
      <c r="M18" s="52"/>
      <c r="N18" s="52"/>
      <c r="O18" s="52"/>
      <c r="P18" s="52"/>
      <c r="Q18" s="52"/>
      <c r="R18" s="53"/>
    </row>
    <row r="19">
      <c r="A19" s="55"/>
      <c r="B19" s="56" t="s">
        <v>63</v>
      </c>
      <c r="C19" s="57" t="s">
        <v>57</v>
      </c>
      <c r="D19" s="58"/>
      <c r="E19" s="52"/>
      <c r="F19" s="52"/>
      <c r="G19" s="52"/>
      <c r="H19" s="52"/>
      <c r="I19" s="52"/>
      <c r="J19" s="52"/>
      <c r="K19" s="52"/>
      <c r="L19" s="52"/>
      <c r="M19" s="52"/>
      <c r="N19" s="52"/>
      <c r="O19" s="52"/>
      <c r="P19" s="52"/>
      <c r="Q19" s="52"/>
      <c r="R19" s="53"/>
    </row>
    <row r="20">
      <c r="A20" s="44"/>
    </row>
    <row r="21">
      <c r="A21" s="8"/>
      <c r="B21" s="9" t="s">
        <v>64</v>
      </c>
      <c r="C21" s="48"/>
      <c r="D21" s="48"/>
      <c r="E21" s="48"/>
      <c r="F21" s="48"/>
      <c r="G21" s="48"/>
      <c r="H21" s="48"/>
      <c r="I21" s="48"/>
      <c r="J21" s="48"/>
      <c r="K21" s="48"/>
      <c r="L21" s="48"/>
      <c r="M21" s="48"/>
      <c r="N21" s="49"/>
    </row>
    <row r="22">
      <c r="A22" s="59"/>
      <c r="B22" s="60" t="s">
        <v>13</v>
      </c>
      <c r="C22" s="60" t="s">
        <v>65</v>
      </c>
      <c r="D22" s="61" t="s">
        <v>66</v>
      </c>
      <c r="E22" s="62"/>
      <c r="F22" s="62"/>
      <c r="G22" s="62"/>
      <c r="H22" s="62"/>
      <c r="I22" s="62"/>
      <c r="J22" s="63"/>
      <c r="K22" s="63"/>
      <c r="L22" s="63"/>
      <c r="M22" s="63"/>
      <c r="N22" s="64"/>
    </row>
    <row r="23">
      <c r="A23" s="59"/>
      <c r="B23" s="65" t="s">
        <v>67</v>
      </c>
      <c r="C23" s="65" t="s">
        <v>65</v>
      </c>
      <c r="D23" s="66" t="s">
        <v>68</v>
      </c>
      <c r="E23" s="61"/>
      <c r="F23" s="61"/>
      <c r="G23" s="61"/>
      <c r="H23" s="61"/>
      <c r="I23" s="61"/>
      <c r="J23" s="52"/>
      <c r="K23" s="52"/>
      <c r="L23" s="52"/>
      <c r="M23" s="52"/>
      <c r="N23" s="53"/>
    </row>
    <row r="24">
      <c r="A24" s="59"/>
      <c r="B24" s="65" t="s">
        <v>69</v>
      </c>
      <c r="C24" s="65" t="s">
        <v>70</v>
      </c>
      <c r="D24" s="67" t="s">
        <v>71</v>
      </c>
      <c r="E24" s="1"/>
      <c r="F24" s="1"/>
      <c r="G24" s="1"/>
      <c r="H24" s="1"/>
      <c r="I24" s="1"/>
      <c r="J24" s="58"/>
      <c r="K24" s="58"/>
      <c r="L24" s="58"/>
      <c r="M24" s="58"/>
      <c r="N24" s="68"/>
    </row>
    <row r="25">
      <c r="A25" s="59"/>
      <c r="B25" s="69" t="s">
        <v>72</v>
      </c>
      <c r="C25" s="65" t="s">
        <v>65</v>
      </c>
      <c r="D25" s="61" t="s">
        <v>73</v>
      </c>
      <c r="E25" s="61"/>
      <c r="F25" s="61"/>
      <c r="G25" s="61"/>
      <c r="H25" s="61"/>
      <c r="I25" s="61"/>
      <c r="J25" s="58"/>
      <c r="K25" s="58"/>
      <c r="L25" s="58"/>
      <c r="M25" s="58"/>
      <c r="N25" s="68"/>
    </row>
    <row r="26">
      <c r="A26" s="59"/>
      <c r="B26" s="70"/>
      <c r="C26" s="65" t="s">
        <v>70</v>
      </c>
      <c r="D26" s="67" t="s">
        <v>74</v>
      </c>
      <c r="E26" s="67"/>
      <c r="F26" s="67"/>
      <c r="G26" s="67"/>
      <c r="H26" s="67"/>
      <c r="I26" s="67"/>
      <c r="J26" s="58"/>
      <c r="K26" s="58"/>
      <c r="L26" s="58"/>
      <c r="M26" s="58"/>
      <c r="N26" s="68"/>
    </row>
    <row r="27">
      <c r="A27" s="44"/>
      <c r="B27" s="44"/>
    </row>
    <row r="28">
      <c r="A28" s="44"/>
      <c r="B28" s="71" t="s">
        <v>75</v>
      </c>
      <c r="C28" s="12"/>
      <c r="D28" s="12"/>
      <c r="E28" s="12"/>
      <c r="F28" s="12"/>
      <c r="G28" s="12"/>
      <c r="H28" s="13"/>
    </row>
    <row r="29">
      <c r="A29" s="44"/>
      <c r="B29" s="72" t="s">
        <v>76</v>
      </c>
      <c r="C29" s="73" t="s">
        <v>77</v>
      </c>
      <c r="D29" s="74"/>
      <c r="E29" s="74"/>
      <c r="F29" s="74"/>
      <c r="G29" s="74"/>
      <c r="H29" s="75"/>
    </row>
    <row r="30">
      <c r="A30" s="44"/>
      <c r="B30" s="76" t="s">
        <v>78</v>
      </c>
      <c r="C30" s="77" t="s">
        <v>79</v>
      </c>
      <c r="D30" s="73" t="s">
        <v>80</v>
      </c>
      <c r="E30" s="74"/>
      <c r="F30" s="74"/>
      <c r="G30" s="74"/>
      <c r="H30" s="75"/>
    </row>
    <row r="31">
      <c r="A31" s="44"/>
      <c r="B31" s="78"/>
      <c r="C31" s="79" t="s">
        <v>81</v>
      </c>
      <c r="D31" s="80" t="s">
        <v>77</v>
      </c>
      <c r="E31" s="81"/>
      <c r="F31" s="81"/>
      <c r="G31" s="81"/>
      <c r="H31" s="82"/>
    </row>
    <row r="32">
      <c r="A32" s="44"/>
      <c r="B32" s="70"/>
      <c r="C32" s="23"/>
      <c r="D32" s="83"/>
      <c r="E32" s="83"/>
      <c r="F32" s="83"/>
      <c r="G32" s="83"/>
      <c r="H32" s="23"/>
    </row>
    <row r="33">
      <c r="A33" s="44"/>
      <c r="B33" s="44"/>
    </row>
    <row r="34">
      <c r="A34" s="44"/>
      <c r="B34" s="44"/>
    </row>
    <row r="35">
      <c r="A35" s="44"/>
      <c r="B35" s="44"/>
    </row>
    <row r="36">
      <c r="A36" s="44"/>
      <c r="B36" s="44"/>
    </row>
    <row r="37">
      <c r="A37" s="44"/>
      <c r="B37" s="44"/>
    </row>
    <row r="38">
      <c r="A38" s="44"/>
      <c r="B38" s="44"/>
    </row>
    <row r="39">
      <c r="A39" s="44"/>
      <c r="B39" s="44"/>
    </row>
    <row r="40">
      <c r="A40" s="44"/>
      <c r="B40" s="44"/>
    </row>
    <row r="41">
      <c r="A41" s="44"/>
      <c r="B41" s="44"/>
    </row>
    <row r="42">
      <c r="A42" s="44"/>
      <c r="B42" s="44"/>
    </row>
    <row r="43">
      <c r="A43" s="44"/>
      <c r="B43" s="44"/>
    </row>
    <row r="44">
      <c r="A44" s="44"/>
      <c r="B44" s="44"/>
    </row>
    <row r="45">
      <c r="A45" s="44"/>
      <c r="B45" s="44"/>
    </row>
    <row r="46">
      <c r="A46" s="44"/>
      <c r="B46" s="44"/>
    </row>
    <row r="47">
      <c r="A47" s="44"/>
      <c r="B47" s="44"/>
    </row>
    <row r="48">
      <c r="A48" s="44"/>
      <c r="B48" s="44"/>
    </row>
    <row r="49">
      <c r="A49" s="44"/>
      <c r="B49" s="44"/>
    </row>
    <row r="50">
      <c r="A50" s="44"/>
      <c r="B50" s="44"/>
    </row>
    <row r="51">
      <c r="A51" s="44"/>
      <c r="B51" s="44"/>
    </row>
    <row r="52">
      <c r="A52" s="44"/>
      <c r="B52" s="44"/>
    </row>
    <row r="53">
      <c r="A53" s="44"/>
      <c r="B53" s="44"/>
    </row>
    <row r="54">
      <c r="A54" s="44"/>
      <c r="B54" s="44"/>
    </row>
    <row r="55">
      <c r="A55" s="44"/>
      <c r="B55" s="44"/>
    </row>
    <row r="56">
      <c r="A56" s="44"/>
      <c r="B56" s="44"/>
    </row>
    <row r="57">
      <c r="A57" s="44"/>
      <c r="B57" s="44"/>
    </row>
    <row r="58">
      <c r="A58" s="44"/>
      <c r="B58" s="44"/>
    </row>
    <row r="59">
      <c r="A59" s="44"/>
      <c r="B59" s="44"/>
    </row>
    <row r="60">
      <c r="A60" s="44"/>
      <c r="B60" s="44"/>
    </row>
    <row r="61">
      <c r="A61" s="44"/>
      <c r="B61" s="44"/>
    </row>
    <row r="62">
      <c r="A62" s="44"/>
      <c r="B62" s="44"/>
    </row>
    <row r="63">
      <c r="A63" s="44"/>
      <c r="B63" s="44"/>
    </row>
    <row r="64">
      <c r="A64" s="44"/>
      <c r="B64" s="44"/>
    </row>
    <row r="65">
      <c r="A65" s="44"/>
      <c r="B65" s="44"/>
    </row>
    <row r="66">
      <c r="A66" s="44"/>
      <c r="B66" s="44"/>
    </row>
    <row r="67">
      <c r="A67" s="44"/>
      <c r="B67" s="44"/>
    </row>
    <row r="68">
      <c r="A68" s="44"/>
      <c r="B68" s="44"/>
    </row>
    <row r="69">
      <c r="A69" s="44"/>
      <c r="B69" s="44"/>
    </row>
    <row r="70">
      <c r="A70" s="44"/>
      <c r="B70" s="44"/>
    </row>
    <row r="71">
      <c r="A71" s="44"/>
      <c r="B71" s="44"/>
    </row>
    <row r="72">
      <c r="A72" s="44"/>
      <c r="B72" s="44"/>
    </row>
    <row r="73">
      <c r="A73" s="44"/>
      <c r="B73" s="44"/>
    </row>
    <row r="74">
      <c r="A74" s="44"/>
      <c r="B74" s="44"/>
    </row>
    <row r="75">
      <c r="A75" s="44"/>
      <c r="B75" s="44"/>
    </row>
    <row r="76">
      <c r="A76" s="44"/>
      <c r="B76" s="44"/>
    </row>
    <row r="77">
      <c r="A77" s="44"/>
      <c r="B77" s="44"/>
    </row>
    <row r="78">
      <c r="A78" s="44"/>
      <c r="B78" s="44"/>
    </row>
    <row r="79">
      <c r="A79" s="44"/>
      <c r="B79" s="44"/>
    </row>
    <row r="80">
      <c r="A80" s="44"/>
      <c r="B80" s="44"/>
    </row>
    <row r="81">
      <c r="A81" s="44"/>
      <c r="B81" s="44"/>
    </row>
    <row r="82">
      <c r="A82" s="44"/>
      <c r="B82" s="44"/>
    </row>
    <row r="83">
      <c r="A83" s="44"/>
      <c r="B83" s="44"/>
    </row>
    <row r="84">
      <c r="A84" s="44"/>
      <c r="B84" s="44"/>
    </row>
    <row r="85">
      <c r="A85" s="44"/>
      <c r="B85" s="44"/>
    </row>
    <row r="86">
      <c r="A86" s="44"/>
      <c r="B86" s="44"/>
    </row>
    <row r="87">
      <c r="A87" s="44"/>
      <c r="B87" s="44"/>
    </row>
    <row r="88">
      <c r="A88" s="44"/>
      <c r="B88" s="44"/>
    </row>
    <row r="89">
      <c r="A89" s="44"/>
      <c r="B89" s="44"/>
    </row>
    <row r="90">
      <c r="A90" s="44"/>
      <c r="B90" s="44"/>
    </row>
    <row r="91">
      <c r="A91" s="44"/>
      <c r="B91" s="44"/>
    </row>
    <row r="92">
      <c r="A92" s="44"/>
      <c r="B92" s="44"/>
    </row>
    <row r="93">
      <c r="A93" s="44"/>
      <c r="B93" s="44"/>
    </row>
    <row r="94">
      <c r="A94" s="44"/>
      <c r="B94" s="44"/>
    </row>
    <row r="95">
      <c r="A95" s="44"/>
      <c r="B95" s="44"/>
    </row>
    <row r="96">
      <c r="A96" s="44"/>
      <c r="B96" s="44"/>
    </row>
    <row r="97">
      <c r="A97" s="44"/>
      <c r="B97" s="44"/>
    </row>
    <row r="98">
      <c r="A98" s="44"/>
      <c r="B98" s="44"/>
    </row>
    <row r="99">
      <c r="A99" s="44"/>
      <c r="B99" s="44"/>
    </row>
    <row r="100">
      <c r="A100" s="44"/>
      <c r="B100" s="44"/>
    </row>
    <row r="101">
      <c r="A101" s="44"/>
      <c r="B101" s="44"/>
    </row>
    <row r="102">
      <c r="A102" s="44"/>
      <c r="B102" s="44"/>
    </row>
    <row r="103">
      <c r="A103" s="44"/>
      <c r="B103" s="44"/>
    </row>
    <row r="104">
      <c r="A104" s="44"/>
      <c r="B104" s="44"/>
    </row>
    <row r="105">
      <c r="A105" s="44"/>
      <c r="B105" s="44"/>
    </row>
    <row r="106">
      <c r="A106" s="44"/>
      <c r="B106" s="44"/>
    </row>
    <row r="107">
      <c r="A107" s="44"/>
      <c r="B107" s="44"/>
    </row>
    <row r="108">
      <c r="A108" s="44"/>
      <c r="B108" s="44"/>
    </row>
    <row r="109">
      <c r="A109" s="44"/>
      <c r="B109" s="44"/>
    </row>
    <row r="110">
      <c r="A110" s="44"/>
      <c r="B110" s="44"/>
    </row>
    <row r="111">
      <c r="A111" s="44"/>
      <c r="B111" s="44"/>
    </row>
    <row r="112">
      <c r="A112" s="44"/>
      <c r="B112" s="44"/>
    </row>
    <row r="113">
      <c r="A113" s="44"/>
      <c r="B113" s="44"/>
    </row>
    <row r="114">
      <c r="A114" s="44"/>
      <c r="B114" s="44"/>
    </row>
    <row r="115">
      <c r="A115" s="44"/>
      <c r="B115" s="44"/>
    </row>
    <row r="116">
      <c r="A116" s="44"/>
      <c r="B116" s="44"/>
    </row>
    <row r="117">
      <c r="A117" s="44"/>
      <c r="B117" s="44"/>
    </row>
    <row r="118">
      <c r="A118" s="44"/>
      <c r="B118" s="44"/>
    </row>
    <row r="119">
      <c r="A119" s="44"/>
      <c r="B119" s="44"/>
    </row>
    <row r="120">
      <c r="A120" s="44"/>
      <c r="B120" s="44"/>
    </row>
    <row r="121">
      <c r="A121" s="44"/>
      <c r="B121" s="44"/>
    </row>
    <row r="122">
      <c r="A122" s="44"/>
      <c r="B122" s="44"/>
    </row>
    <row r="123">
      <c r="A123" s="44"/>
      <c r="B123" s="44"/>
    </row>
    <row r="124">
      <c r="A124" s="44"/>
      <c r="B124" s="44"/>
    </row>
    <row r="125">
      <c r="A125" s="44"/>
      <c r="B125" s="44"/>
    </row>
    <row r="126">
      <c r="A126" s="44"/>
      <c r="B126" s="44"/>
    </row>
    <row r="127">
      <c r="A127" s="44"/>
      <c r="B127" s="44"/>
    </row>
    <row r="128">
      <c r="A128" s="44"/>
      <c r="B128" s="44"/>
    </row>
    <row r="129">
      <c r="A129" s="44"/>
      <c r="B129" s="44"/>
    </row>
    <row r="130">
      <c r="A130" s="44"/>
      <c r="B130" s="44"/>
    </row>
    <row r="131">
      <c r="A131" s="44"/>
      <c r="B131" s="44"/>
    </row>
    <row r="132">
      <c r="A132" s="44"/>
      <c r="B132" s="44"/>
    </row>
    <row r="133">
      <c r="A133" s="44"/>
      <c r="B133" s="44"/>
    </row>
    <row r="134">
      <c r="A134" s="44"/>
      <c r="B134" s="44"/>
    </row>
    <row r="135">
      <c r="A135" s="44"/>
      <c r="B135" s="44"/>
    </row>
    <row r="136">
      <c r="A136" s="44"/>
      <c r="B136" s="44"/>
    </row>
    <row r="137">
      <c r="A137" s="44"/>
      <c r="B137" s="44"/>
    </row>
    <row r="138">
      <c r="A138" s="44"/>
      <c r="B138" s="44"/>
    </row>
    <row r="139">
      <c r="A139" s="44"/>
      <c r="B139" s="44"/>
    </row>
    <row r="140">
      <c r="A140" s="44"/>
      <c r="B140" s="44"/>
    </row>
    <row r="141">
      <c r="A141" s="44"/>
      <c r="B141" s="44"/>
    </row>
    <row r="142">
      <c r="A142" s="44"/>
      <c r="B142" s="44"/>
    </row>
    <row r="143">
      <c r="A143" s="44"/>
      <c r="B143" s="44"/>
    </row>
    <row r="144">
      <c r="A144" s="44"/>
      <c r="B144" s="44"/>
    </row>
    <row r="145">
      <c r="A145" s="44"/>
      <c r="B145" s="44"/>
    </row>
    <row r="146">
      <c r="A146" s="44"/>
      <c r="B146" s="44"/>
    </row>
    <row r="147">
      <c r="A147" s="44"/>
      <c r="B147" s="44"/>
    </row>
    <row r="148">
      <c r="A148" s="44"/>
      <c r="B148" s="44"/>
    </row>
    <row r="149">
      <c r="A149" s="44"/>
      <c r="B149" s="44"/>
    </row>
    <row r="150">
      <c r="A150" s="44"/>
      <c r="B150" s="44"/>
    </row>
    <row r="151">
      <c r="A151" s="44"/>
      <c r="B151" s="44"/>
    </row>
    <row r="152">
      <c r="A152" s="44"/>
      <c r="B152" s="44"/>
    </row>
    <row r="153">
      <c r="A153" s="44"/>
      <c r="B153" s="44"/>
    </row>
    <row r="154">
      <c r="A154" s="44"/>
      <c r="B154" s="44"/>
    </row>
    <row r="155">
      <c r="A155" s="44"/>
      <c r="B155" s="44"/>
    </row>
    <row r="156">
      <c r="A156" s="44"/>
      <c r="B156" s="44"/>
    </row>
    <row r="157">
      <c r="A157" s="44"/>
      <c r="B157" s="44"/>
    </row>
    <row r="158">
      <c r="A158" s="44"/>
      <c r="B158" s="44"/>
    </row>
    <row r="159">
      <c r="A159" s="44"/>
      <c r="B159" s="44"/>
    </row>
    <row r="160">
      <c r="A160" s="44"/>
      <c r="B160" s="44"/>
    </row>
    <row r="161">
      <c r="A161" s="44"/>
      <c r="B161" s="44"/>
    </row>
    <row r="162">
      <c r="A162" s="44"/>
      <c r="B162" s="44"/>
    </row>
    <row r="163">
      <c r="A163" s="44"/>
      <c r="B163" s="44"/>
    </row>
    <row r="164">
      <c r="A164" s="44"/>
      <c r="B164" s="44"/>
    </row>
    <row r="165">
      <c r="A165" s="44"/>
      <c r="B165" s="44"/>
    </row>
    <row r="166">
      <c r="A166" s="44"/>
      <c r="B166" s="44"/>
    </row>
    <row r="167">
      <c r="A167" s="44"/>
      <c r="B167" s="44"/>
    </row>
    <row r="168">
      <c r="A168" s="44"/>
      <c r="B168" s="44"/>
    </row>
    <row r="169">
      <c r="A169" s="44"/>
      <c r="B169" s="44"/>
    </row>
    <row r="170">
      <c r="A170" s="44"/>
      <c r="B170" s="44"/>
    </row>
    <row r="171">
      <c r="A171" s="44"/>
      <c r="B171" s="44"/>
    </row>
    <row r="172">
      <c r="A172" s="44"/>
      <c r="B172" s="44"/>
    </row>
    <row r="173">
      <c r="A173" s="44"/>
      <c r="B173" s="44"/>
    </row>
    <row r="174">
      <c r="A174" s="44"/>
      <c r="B174" s="44"/>
    </row>
    <row r="175">
      <c r="A175" s="44"/>
      <c r="B175" s="44"/>
    </row>
    <row r="176">
      <c r="A176" s="44"/>
      <c r="B176" s="44"/>
    </row>
    <row r="177">
      <c r="A177" s="44"/>
      <c r="B177" s="44"/>
    </row>
    <row r="178">
      <c r="A178" s="44"/>
      <c r="B178" s="44"/>
    </row>
    <row r="179">
      <c r="A179" s="44"/>
      <c r="B179" s="44"/>
    </row>
    <row r="180">
      <c r="A180" s="44"/>
      <c r="B180" s="44"/>
    </row>
    <row r="181">
      <c r="A181" s="44"/>
      <c r="B181" s="44"/>
    </row>
    <row r="182">
      <c r="A182" s="44"/>
      <c r="B182" s="44"/>
    </row>
    <row r="183">
      <c r="A183" s="44"/>
      <c r="B183" s="44"/>
    </row>
    <row r="184">
      <c r="A184" s="44"/>
      <c r="B184" s="44"/>
    </row>
    <row r="185">
      <c r="A185" s="44"/>
      <c r="B185" s="44"/>
    </row>
    <row r="186">
      <c r="A186" s="44"/>
      <c r="B186" s="44"/>
    </row>
    <row r="187">
      <c r="A187" s="44"/>
      <c r="B187" s="44"/>
    </row>
    <row r="188">
      <c r="A188" s="44"/>
      <c r="B188" s="44"/>
    </row>
    <row r="189">
      <c r="A189" s="44"/>
      <c r="B189" s="44"/>
    </row>
    <row r="190">
      <c r="A190" s="44"/>
      <c r="B190" s="44"/>
    </row>
    <row r="191">
      <c r="A191" s="44"/>
      <c r="B191" s="44"/>
    </row>
    <row r="192">
      <c r="A192" s="44"/>
      <c r="B192" s="44"/>
    </row>
    <row r="193">
      <c r="A193" s="44"/>
      <c r="B193" s="44"/>
    </row>
    <row r="194">
      <c r="A194" s="44"/>
      <c r="B194" s="44"/>
    </row>
    <row r="195">
      <c r="A195" s="44"/>
      <c r="B195" s="44"/>
    </row>
    <row r="196">
      <c r="A196" s="44"/>
      <c r="B196" s="44"/>
    </row>
    <row r="197">
      <c r="A197" s="44"/>
      <c r="B197" s="44"/>
    </row>
    <row r="198">
      <c r="A198" s="44"/>
      <c r="B198" s="44"/>
    </row>
    <row r="199">
      <c r="A199" s="44"/>
      <c r="B199" s="44"/>
    </row>
    <row r="200">
      <c r="A200" s="44"/>
      <c r="B200" s="44"/>
    </row>
    <row r="201">
      <c r="A201" s="44"/>
      <c r="B201" s="44"/>
    </row>
    <row r="202">
      <c r="A202" s="44"/>
      <c r="B202" s="44"/>
    </row>
    <row r="203">
      <c r="A203" s="44"/>
      <c r="B203" s="44"/>
    </row>
    <row r="204">
      <c r="A204" s="44"/>
      <c r="B204" s="44"/>
    </row>
    <row r="205">
      <c r="A205" s="44"/>
      <c r="B205" s="44"/>
    </row>
    <row r="206">
      <c r="A206" s="44"/>
      <c r="B206" s="44"/>
    </row>
    <row r="207">
      <c r="A207" s="44"/>
      <c r="B207" s="44"/>
    </row>
    <row r="208">
      <c r="A208" s="44"/>
      <c r="B208" s="44"/>
    </row>
    <row r="209">
      <c r="A209" s="44"/>
      <c r="B209" s="44"/>
    </row>
    <row r="210">
      <c r="A210" s="44"/>
      <c r="B210" s="44"/>
    </row>
    <row r="211">
      <c r="A211" s="44"/>
      <c r="B211" s="44"/>
    </row>
    <row r="212">
      <c r="A212" s="44"/>
      <c r="B212" s="44"/>
    </row>
    <row r="213">
      <c r="A213" s="44"/>
      <c r="B213" s="44"/>
    </row>
    <row r="214">
      <c r="A214" s="44"/>
      <c r="B214" s="44"/>
    </row>
    <row r="215">
      <c r="A215" s="44"/>
      <c r="B215" s="44"/>
    </row>
    <row r="216">
      <c r="A216" s="44"/>
      <c r="B216" s="44"/>
    </row>
    <row r="217">
      <c r="A217" s="44"/>
      <c r="B217" s="44"/>
    </row>
    <row r="218">
      <c r="A218" s="44"/>
      <c r="B218" s="44"/>
    </row>
    <row r="219">
      <c r="A219" s="44"/>
      <c r="B219" s="44"/>
    </row>
    <row r="220">
      <c r="A220" s="44"/>
      <c r="B220" s="44"/>
    </row>
    <row r="221">
      <c r="A221" s="44"/>
      <c r="B221" s="44"/>
    </row>
    <row r="222">
      <c r="A222" s="44"/>
      <c r="B222" s="44"/>
    </row>
    <row r="223">
      <c r="A223" s="44"/>
      <c r="B223" s="44"/>
    </row>
    <row r="224">
      <c r="A224" s="44"/>
      <c r="B224" s="44"/>
    </row>
    <row r="225">
      <c r="A225" s="44"/>
      <c r="B225" s="44"/>
    </row>
    <row r="226">
      <c r="A226" s="44"/>
      <c r="B226" s="44"/>
    </row>
    <row r="227">
      <c r="A227" s="44"/>
      <c r="B227" s="44"/>
    </row>
    <row r="228">
      <c r="A228" s="44"/>
      <c r="B228" s="44"/>
    </row>
    <row r="229">
      <c r="A229" s="44"/>
      <c r="B229" s="44"/>
    </row>
    <row r="230">
      <c r="A230" s="44"/>
      <c r="B230" s="44"/>
    </row>
    <row r="231">
      <c r="A231" s="44"/>
      <c r="B231" s="44"/>
    </row>
    <row r="232">
      <c r="A232" s="44"/>
      <c r="B232" s="44"/>
    </row>
    <row r="233">
      <c r="A233" s="44"/>
      <c r="B233" s="44"/>
    </row>
    <row r="234">
      <c r="A234" s="44"/>
      <c r="B234" s="44"/>
    </row>
    <row r="235">
      <c r="A235" s="44"/>
      <c r="B235" s="44"/>
    </row>
    <row r="236">
      <c r="A236" s="44"/>
      <c r="B236" s="44"/>
    </row>
    <row r="237">
      <c r="A237" s="44"/>
      <c r="B237" s="44"/>
    </row>
    <row r="238">
      <c r="A238" s="44"/>
      <c r="B238" s="44"/>
    </row>
    <row r="239">
      <c r="A239" s="44"/>
      <c r="B239" s="44"/>
    </row>
    <row r="240">
      <c r="A240" s="44"/>
      <c r="B240" s="44"/>
    </row>
    <row r="241">
      <c r="A241" s="44"/>
      <c r="B241" s="44"/>
    </row>
    <row r="242">
      <c r="A242" s="44"/>
      <c r="B242" s="44"/>
    </row>
    <row r="243">
      <c r="A243" s="44"/>
      <c r="B243" s="44"/>
    </row>
    <row r="244">
      <c r="A244" s="44"/>
      <c r="B244" s="44"/>
    </row>
    <row r="245">
      <c r="A245" s="44"/>
      <c r="B245" s="44"/>
    </row>
    <row r="246">
      <c r="A246" s="44"/>
      <c r="B246" s="44"/>
    </row>
    <row r="247">
      <c r="A247" s="44"/>
      <c r="B247" s="44"/>
    </row>
    <row r="248">
      <c r="A248" s="44"/>
      <c r="B248" s="44"/>
    </row>
    <row r="249">
      <c r="A249" s="44"/>
      <c r="B249" s="44"/>
    </row>
    <row r="250">
      <c r="A250" s="44"/>
      <c r="B250" s="44"/>
    </row>
    <row r="251">
      <c r="A251" s="44"/>
      <c r="B251" s="44"/>
    </row>
    <row r="252">
      <c r="A252" s="44"/>
      <c r="B252" s="44"/>
    </row>
    <row r="253">
      <c r="A253" s="44"/>
      <c r="B253" s="44"/>
    </row>
    <row r="254">
      <c r="A254" s="44"/>
      <c r="B254" s="44"/>
    </row>
    <row r="255">
      <c r="A255" s="44"/>
      <c r="B255" s="44"/>
    </row>
    <row r="256">
      <c r="A256" s="44"/>
      <c r="B256" s="44"/>
    </row>
    <row r="257">
      <c r="A257" s="44"/>
      <c r="B257" s="44"/>
    </row>
    <row r="258">
      <c r="A258" s="44"/>
      <c r="B258" s="44"/>
    </row>
    <row r="259">
      <c r="A259" s="44"/>
      <c r="B259" s="44"/>
    </row>
    <row r="260">
      <c r="A260" s="44"/>
      <c r="B260" s="44"/>
    </row>
    <row r="261">
      <c r="A261" s="44"/>
      <c r="B261" s="44"/>
    </row>
    <row r="262">
      <c r="A262" s="44"/>
      <c r="B262" s="44"/>
    </row>
    <row r="263">
      <c r="A263" s="44"/>
      <c r="B263" s="44"/>
    </row>
    <row r="264">
      <c r="A264" s="44"/>
      <c r="B264" s="44"/>
    </row>
    <row r="265">
      <c r="A265" s="44"/>
      <c r="B265" s="44"/>
    </row>
    <row r="266">
      <c r="A266" s="44"/>
      <c r="B266" s="44"/>
    </row>
    <row r="267">
      <c r="A267" s="44"/>
      <c r="B267" s="44"/>
    </row>
    <row r="268">
      <c r="A268" s="44"/>
      <c r="B268" s="44"/>
    </row>
    <row r="269">
      <c r="A269" s="44"/>
      <c r="B269" s="44"/>
    </row>
    <row r="270">
      <c r="A270" s="44"/>
      <c r="B270" s="44"/>
    </row>
    <row r="271">
      <c r="A271" s="44"/>
      <c r="B271" s="44"/>
    </row>
    <row r="272">
      <c r="A272" s="44"/>
      <c r="B272" s="44"/>
    </row>
    <row r="273">
      <c r="A273" s="44"/>
      <c r="B273" s="44"/>
    </row>
    <row r="274">
      <c r="A274" s="44"/>
      <c r="B274" s="44"/>
    </row>
    <row r="275">
      <c r="A275" s="44"/>
      <c r="B275" s="44"/>
    </row>
    <row r="276">
      <c r="A276" s="44"/>
      <c r="B276" s="44"/>
    </row>
    <row r="277">
      <c r="A277" s="44"/>
      <c r="B277" s="44"/>
    </row>
    <row r="278">
      <c r="A278" s="44"/>
      <c r="B278" s="44"/>
    </row>
    <row r="279">
      <c r="A279" s="44"/>
      <c r="B279" s="44"/>
    </row>
    <row r="280">
      <c r="A280" s="44"/>
      <c r="B280" s="44"/>
    </row>
    <row r="281">
      <c r="A281" s="44"/>
      <c r="B281" s="44"/>
    </row>
    <row r="282">
      <c r="A282" s="44"/>
      <c r="B282" s="44"/>
    </row>
    <row r="283">
      <c r="A283" s="44"/>
      <c r="B283" s="44"/>
    </row>
    <row r="284">
      <c r="A284" s="44"/>
      <c r="B284" s="44"/>
    </row>
    <row r="285">
      <c r="A285" s="44"/>
      <c r="B285" s="44"/>
    </row>
    <row r="286">
      <c r="A286" s="44"/>
      <c r="B286" s="44"/>
    </row>
    <row r="287">
      <c r="A287" s="44"/>
      <c r="B287" s="44"/>
    </row>
    <row r="288">
      <c r="A288" s="44"/>
      <c r="B288" s="44"/>
    </row>
    <row r="289">
      <c r="A289" s="44"/>
      <c r="B289" s="44"/>
    </row>
    <row r="290">
      <c r="A290" s="44"/>
      <c r="B290" s="44"/>
    </row>
    <row r="291">
      <c r="A291" s="44"/>
      <c r="B291" s="44"/>
    </row>
    <row r="292">
      <c r="A292" s="44"/>
      <c r="B292" s="44"/>
    </row>
    <row r="293">
      <c r="A293" s="44"/>
      <c r="B293" s="44"/>
    </row>
    <row r="294">
      <c r="A294" s="44"/>
      <c r="B294" s="44"/>
    </row>
    <row r="295">
      <c r="A295" s="44"/>
      <c r="B295" s="44"/>
    </row>
    <row r="296">
      <c r="A296" s="44"/>
      <c r="B296" s="44"/>
    </row>
    <row r="297">
      <c r="A297" s="44"/>
      <c r="B297" s="44"/>
    </row>
    <row r="298">
      <c r="A298" s="44"/>
      <c r="B298" s="44"/>
    </row>
    <row r="299">
      <c r="A299" s="44"/>
      <c r="B299" s="44"/>
    </row>
    <row r="300">
      <c r="A300" s="44"/>
      <c r="B300" s="44"/>
    </row>
    <row r="301">
      <c r="A301" s="44"/>
      <c r="B301" s="44"/>
    </row>
    <row r="302">
      <c r="A302" s="44"/>
      <c r="B302" s="44"/>
    </row>
    <row r="303">
      <c r="A303" s="44"/>
      <c r="B303" s="44"/>
    </row>
    <row r="304">
      <c r="A304" s="44"/>
      <c r="B304" s="44"/>
    </row>
    <row r="305">
      <c r="A305" s="44"/>
      <c r="B305" s="44"/>
    </row>
    <row r="306">
      <c r="A306" s="44"/>
      <c r="B306" s="44"/>
    </row>
    <row r="307">
      <c r="A307" s="44"/>
      <c r="B307" s="44"/>
    </row>
    <row r="308">
      <c r="A308" s="44"/>
      <c r="B308" s="44"/>
    </row>
    <row r="309">
      <c r="A309" s="44"/>
      <c r="B309" s="44"/>
    </row>
    <row r="310">
      <c r="A310" s="44"/>
      <c r="B310" s="44"/>
    </row>
    <row r="311">
      <c r="A311" s="44"/>
      <c r="B311" s="44"/>
    </row>
    <row r="312">
      <c r="A312" s="44"/>
      <c r="B312" s="44"/>
    </row>
    <row r="313">
      <c r="A313" s="44"/>
      <c r="B313" s="44"/>
    </row>
    <row r="314">
      <c r="A314" s="44"/>
      <c r="B314" s="44"/>
    </row>
    <row r="315">
      <c r="A315" s="44"/>
      <c r="B315" s="44"/>
    </row>
    <row r="316">
      <c r="A316" s="44"/>
      <c r="B316" s="44"/>
    </row>
    <row r="317">
      <c r="A317" s="44"/>
      <c r="B317" s="44"/>
    </row>
    <row r="318">
      <c r="A318" s="44"/>
      <c r="B318" s="44"/>
    </row>
    <row r="319">
      <c r="A319" s="44"/>
      <c r="B319" s="44"/>
    </row>
    <row r="320">
      <c r="A320" s="44"/>
      <c r="B320" s="44"/>
    </row>
    <row r="321">
      <c r="A321" s="44"/>
      <c r="B321" s="44"/>
    </row>
    <row r="322">
      <c r="A322" s="44"/>
      <c r="B322" s="44"/>
    </row>
    <row r="323">
      <c r="A323" s="44"/>
      <c r="B323" s="44"/>
    </row>
    <row r="324">
      <c r="A324" s="44"/>
      <c r="B324" s="44"/>
    </row>
    <row r="325">
      <c r="A325" s="44"/>
      <c r="B325" s="44"/>
    </row>
    <row r="326">
      <c r="A326" s="44"/>
      <c r="B326" s="44"/>
    </row>
    <row r="327">
      <c r="A327" s="44"/>
      <c r="B327" s="44"/>
    </row>
    <row r="328">
      <c r="A328" s="44"/>
      <c r="B328" s="44"/>
    </row>
    <row r="329">
      <c r="A329" s="44"/>
      <c r="B329" s="44"/>
    </row>
    <row r="330">
      <c r="A330" s="44"/>
      <c r="B330" s="44"/>
    </row>
    <row r="331">
      <c r="A331" s="44"/>
      <c r="B331" s="44"/>
    </row>
    <row r="332">
      <c r="A332" s="44"/>
      <c r="B332" s="44"/>
    </row>
    <row r="333">
      <c r="A333" s="44"/>
      <c r="B333" s="44"/>
    </row>
    <row r="334">
      <c r="A334" s="44"/>
      <c r="B334" s="44"/>
    </row>
    <row r="335">
      <c r="A335" s="44"/>
      <c r="B335" s="44"/>
    </row>
    <row r="336">
      <c r="A336" s="44"/>
      <c r="B336" s="44"/>
    </row>
    <row r="337">
      <c r="A337" s="44"/>
      <c r="B337" s="44"/>
    </row>
    <row r="338">
      <c r="A338" s="44"/>
      <c r="B338" s="44"/>
    </row>
    <row r="339">
      <c r="A339" s="44"/>
      <c r="B339" s="44"/>
    </row>
    <row r="340">
      <c r="A340" s="44"/>
      <c r="B340" s="44"/>
    </row>
    <row r="341">
      <c r="A341" s="44"/>
      <c r="B341" s="44"/>
    </row>
    <row r="342">
      <c r="A342" s="44"/>
      <c r="B342" s="44"/>
    </row>
    <row r="343">
      <c r="A343" s="44"/>
      <c r="B343" s="44"/>
    </row>
    <row r="344">
      <c r="A344" s="44"/>
      <c r="B344" s="44"/>
    </row>
    <row r="345">
      <c r="A345" s="44"/>
      <c r="B345" s="44"/>
    </row>
    <row r="346">
      <c r="A346" s="44"/>
      <c r="B346" s="44"/>
    </row>
    <row r="347">
      <c r="A347" s="44"/>
      <c r="B347" s="44"/>
    </row>
    <row r="348">
      <c r="A348" s="44"/>
      <c r="B348" s="44"/>
    </row>
    <row r="349">
      <c r="A349" s="44"/>
      <c r="B349" s="44"/>
    </row>
    <row r="350">
      <c r="A350" s="44"/>
      <c r="B350" s="44"/>
    </row>
    <row r="351">
      <c r="A351" s="44"/>
      <c r="B351" s="44"/>
    </row>
    <row r="352">
      <c r="A352" s="44"/>
      <c r="B352" s="44"/>
    </row>
    <row r="353">
      <c r="A353" s="44"/>
      <c r="B353" s="44"/>
    </row>
    <row r="354">
      <c r="A354" s="44"/>
      <c r="B354" s="44"/>
    </row>
    <row r="355">
      <c r="A355" s="44"/>
      <c r="B355" s="44"/>
    </row>
    <row r="356">
      <c r="A356" s="44"/>
      <c r="B356" s="44"/>
    </row>
    <row r="357">
      <c r="A357" s="44"/>
      <c r="B357" s="44"/>
    </row>
    <row r="358">
      <c r="A358" s="44"/>
      <c r="B358" s="44"/>
    </row>
    <row r="359">
      <c r="A359" s="44"/>
      <c r="B359" s="44"/>
    </row>
    <row r="360">
      <c r="A360" s="44"/>
      <c r="B360" s="44"/>
    </row>
    <row r="361">
      <c r="A361" s="44"/>
      <c r="B361" s="44"/>
    </row>
    <row r="362">
      <c r="A362" s="44"/>
      <c r="B362" s="44"/>
    </row>
    <row r="363">
      <c r="A363" s="44"/>
      <c r="B363" s="44"/>
    </row>
    <row r="364">
      <c r="A364" s="44"/>
      <c r="B364" s="44"/>
    </row>
    <row r="365">
      <c r="A365" s="44"/>
      <c r="B365" s="44"/>
    </row>
    <row r="366">
      <c r="A366" s="44"/>
      <c r="B366" s="44"/>
    </row>
    <row r="367">
      <c r="A367" s="44"/>
      <c r="B367" s="44"/>
    </row>
    <row r="368">
      <c r="A368" s="44"/>
      <c r="B368" s="44"/>
    </row>
    <row r="369">
      <c r="A369" s="44"/>
      <c r="B369" s="44"/>
    </row>
    <row r="370">
      <c r="A370" s="44"/>
      <c r="B370" s="44"/>
    </row>
    <row r="371">
      <c r="A371" s="44"/>
      <c r="B371" s="44"/>
    </row>
    <row r="372">
      <c r="A372" s="44"/>
      <c r="B372" s="44"/>
    </row>
    <row r="373">
      <c r="A373" s="44"/>
      <c r="B373" s="44"/>
    </row>
    <row r="374">
      <c r="A374" s="44"/>
      <c r="B374" s="44"/>
    </row>
    <row r="375">
      <c r="A375" s="44"/>
      <c r="B375" s="44"/>
    </row>
    <row r="376">
      <c r="A376" s="44"/>
      <c r="B376" s="44"/>
    </row>
    <row r="377">
      <c r="A377" s="44"/>
      <c r="B377" s="44"/>
    </row>
    <row r="378">
      <c r="A378" s="44"/>
      <c r="B378" s="44"/>
    </row>
    <row r="379">
      <c r="A379" s="44"/>
      <c r="B379" s="44"/>
    </row>
    <row r="380">
      <c r="A380" s="44"/>
      <c r="B380" s="44"/>
    </row>
    <row r="381">
      <c r="A381" s="44"/>
      <c r="B381" s="44"/>
    </row>
    <row r="382">
      <c r="A382" s="44"/>
      <c r="B382" s="44"/>
    </row>
    <row r="383">
      <c r="A383" s="44"/>
      <c r="B383" s="44"/>
    </row>
    <row r="384">
      <c r="A384" s="44"/>
      <c r="B384" s="44"/>
    </row>
    <row r="385">
      <c r="A385" s="44"/>
      <c r="B385" s="44"/>
    </row>
    <row r="386">
      <c r="A386" s="44"/>
      <c r="B386" s="44"/>
    </row>
    <row r="387">
      <c r="A387" s="44"/>
      <c r="B387" s="44"/>
    </row>
    <row r="388">
      <c r="A388" s="44"/>
      <c r="B388" s="44"/>
    </row>
    <row r="389">
      <c r="A389" s="44"/>
      <c r="B389" s="44"/>
    </row>
    <row r="390">
      <c r="A390" s="44"/>
      <c r="B390" s="44"/>
    </row>
    <row r="391">
      <c r="A391" s="44"/>
      <c r="B391" s="44"/>
    </row>
    <row r="392">
      <c r="A392" s="44"/>
      <c r="B392" s="44"/>
    </row>
    <row r="393">
      <c r="A393" s="44"/>
      <c r="B393" s="44"/>
    </row>
    <row r="394">
      <c r="A394" s="44"/>
      <c r="B394" s="44"/>
    </row>
    <row r="395">
      <c r="A395" s="44"/>
      <c r="B395" s="44"/>
    </row>
    <row r="396">
      <c r="A396" s="44"/>
      <c r="B396" s="44"/>
    </row>
    <row r="397">
      <c r="A397" s="44"/>
      <c r="B397" s="44"/>
    </row>
    <row r="398">
      <c r="A398" s="44"/>
      <c r="B398" s="44"/>
    </row>
    <row r="399">
      <c r="A399" s="44"/>
      <c r="B399" s="44"/>
    </row>
    <row r="400">
      <c r="A400" s="44"/>
      <c r="B400" s="44"/>
    </row>
    <row r="401">
      <c r="A401" s="44"/>
      <c r="B401" s="44"/>
    </row>
    <row r="402">
      <c r="A402" s="44"/>
      <c r="B402" s="44"/>
    </row>
    <row r="403">
      <c r="A403" s="44"/>
      <c r="B403" s="44"/>
    </row>
    <row r="404">
      <c r="A404" s="44"/>
      <c r="B404" s="44"/>
    </row>
    <row r="405">
      <c r="A405" s="44"/>
      <c r="B405" s="44"/>
    </row>
    <row r="406">
      <c r="A406" s="44"/>
      <c r="B406" s="44"/>
    </row>
    <row r="407">
      <c r="A407" s="44"/>
      <c r="B407" s="44"/>
    </row>
    <row r="408">
      <c r="A408" s="44"/>
      <c r="B408" s="44"/>
    </row>
    <row r="409">
      <c r="A409" s="44"/>
      <c r="B409" s="44"/>
    </row>
    <row r="410">
      <c r="A410" s="44"/>
      <c r="B410" s="44"/>
    </row>
    <row r="411">
      <c r="A411" s="44"/>
      <c r="B411" s="44"/>
    </row>
    <row r="412">
      <c r="A412" s="44"/>
      <c r="B412" s="44"/>
    </row>
    <row r="413">
      <c r="A413" s="44"/>
      <c r="B413" s="44"/>
    </row>
    <row r="414">
      <c r="A414" s="44"/>
      <c r="B414" s="44"/>
    </row>
    <row r="415">
      <c r="A415" s="44"/>
      <c r="B415" s="44"/>
    </row>
    <row r="416">
      <c r="A416" s="44"/>
      <c r="B416" s="44"/>
    </row>
    <row r="417">
      <c r="A417" s="44"/>
      <c r="B417" s="44"/>
    </row>
    <row r="418">
      <c r="A418" s="44"/>
      <c r="B418" s="44"/>
    </row>
    <row r="419">
      <c r="A419" s="44"/>
      <c r="B419" s="44"/>
    </row>
    <row r="420">
      <c r="A420" s="44"/>
      <c r="B420" s="44"/>
    </row>
    <row r="421">
      <c r="A421" s="44"/>
      <c r="B421" s="44"/>
    </row>
    <row r="422">
      <c r="A422" s="44"/>
      <c r="B422" s="44"/>
    </row>
    <row r="423">
      <c r="A423" s="44"/>
      <c r="B423" s="44"/>
    </row>
    <row r="424">
      <c r="A424" s="44"/>
      <c r="B424" s="44"/>
    </row>
    <row r="425">
      <c r="A425" s="44"/>
      <c r="B425" s="44"/>
    </row>
    <row r="426">
      <c r="A426" s="44"/>
      <c r="B426" s="44"/>
    </row>
    <row r="427">
      <c r="A427" s="44"/>
      <c r="B427" s="44"/>
    </row>
    <row r="428">
      <c r="A428" s="44"/>
      <c r="B428" s="44"/>
    </row>
    <row r="429">
      <c r="A429" s="44"/>
      <c r="B429" s="44"/>
    </row>
    <row r="430">
      <c r="A430" s="44"/>
      <c r="B430" s="44"/>
    </row>
    <row r="431">
      <c r="A431" s="44"/>
      <c r="B431" s="44"/>
    </row>
    <row r="432">
      <c r="A432" s="44"/>
      <c r="B432" s="44"/>
    </row>
    <row r="433">
      <c r="A433" s="44"/>
      <c r="B433" s="44"/>
    </row>
    <row r="434">
      <c r="A434" s="44"/>
      <c r="B434" s="44"/>
    </row>
    <row r="435">
      <c r="A435" s="44"/>
      <c r="B435" s="44"/>
    </row>
    <row r="436">
      <c r="A436" s="44"/>
      <c r="B436" s="44"/>
    </row>
    <row r="437">
      <c r="A437" s="44"/>
      <c r="B437" s="44"/>
    </row>
    <row r="438">
      <c r="A438" s="44"/>
      <c r="B438" s="44"/>
    </row>
    <row r="439">
      <c r="A439" s="44"/>
      <c r="B439" s="44"/>
    </row>
    <row r="440">
      <c r="A440" s="44"/>
      <c r="B440" s="44"/>
    </row>
    <row r="441">
      <c r="A441" s="44"/>
      <c r="B441" s="44"/>
    </row>
    <row r="442">
      <c r="A442" s="44"/>
      <c r="B442" s="44"/>
    </row>
    <row r="443">
      <c r="A443" s="44"/>
      <c r="B443" s="44"/>
    </row>
    <row r="444">
      <c r="A444" s="44"/>
      <c r="B444" s="44"/>
    </row>
    <row r="445">
      <c r="A445" s="44"/>
      <c r="B445" s="44"/>
    </row>
    <row r="446">
      <c r="A446" s="44"/>
      <c r="B446" s="44"/>
    </row>
    <row r="447">
      <c r="A447" s="44"/>
      <c r="B447" s="44"/>
    </row>
    <row r="448">
      <c r="A448" s="44"/>
      <c r="B448" s="44"/>
    </row>
    <row r="449">
      <c r="A449" s="44"/>
      <c r="B449" s="44"/>
    </row>
    <row r="450">
      <c r="A450" s="44"/>
      <c r="B450" s="44"/>
    </row>
    <row r="451">
      <c r="A451" s="44"/>
      <c r="B451" s="44"/>
    </row>
    <row r="452">
      <c r="A452" s="44"/>
      <c r="B452" s="44"/>
    </row>
    <row r="453">
      <c r="A453" s="44"/>
      <c r="B453" s="44"/>
    </row>
    <row r="454">
      <c r="A454" s="44"/>
      <c r="B454" s="44"/>
    </row>
    <row r="455">
      <c r="A455" s="44"/>
      <c r="B455" s="44"/>
    </row>
    <row r="456">
      <c r="A456" s="44"/>
      <c r="B456" s="44"/>
    </row>
    <row r="457">
      <c r="A457" s="44"/>
      <c r="B457" s="44"/>
    </row>
    <row r="458">
      <c r="A458" s="44"/>
      <c r="B458" s="44"/>
    </row>
    <row r="459">
      <c r="A459" s="44"/>
      <c r="B459" s="44"/>
    </row>
    <row r="460">
      <c r="A460" s="44"/>
      <c r="B460" s="44"/>
    </row>
    <row r="461">
      <c r="A461" s="44"/>
      <c r="B461" s="44"/>
    </row>
    <row r="462">
      <c r="A462" s="44"/>
      <c r="B462" s="44"/>
    </row>
    <row r="463">
      <c r="A463" s="44"/>
      <c r="B463" s="44"/>
    </row>
    <row r="464">
      <c r="A464" s="44"/>
      <c r="B464" s="44"/>
    </row>
    <row r="465">
      <c r="A465" s="44"/>
      <c r="B465" s="44"/>
    </row>
    <row r="466">
      <c r="A466" s="44"/>
      <c r="B466" s="44"/>
    </row>
    <row r="467">
      <c r="A467" s="44"/>
      <c r="B467" s="44"/>
    </row>
    <row r="468">
      <c r="A468" s="44"/>
      <c r="B468" s="44"/>
    </row>
    <row r="469">
      <c r="A469" s="44"/>
      <c r="B469" s="44"/>
    </row>
    <row r="470">
      <c r="A470" s="44"/>
      <c r="B470" s="44"/>
    </row>
    <row r="471">
      <c r="A471" s="44"/>
      <c r="B471" s="44"/>
    </row>
    <row r="472">
      <c r="A472" s="44"/>
      <c r="B472" s="44"/>
    </row>
    <row r="473">
      <c r="A473" s="44"/>
      <c r="B473" s="44"/>
    </row>
    <row r="474">
      <c r="A474" s="44"/>
      <c r="B474" s="44"/>
    </row>
    <row r="475">
      <c r="A475" s="44"/>
      <c r="B475" s="44"/>
    </row>
    <row r="476">
      <c r="A476" s="44"/>
      <c r="B476" s="44"/>
    </row>
    <row r="477">
      <c r="A477" s="44"/>
      <c r="B477" s="44"/>
    </row>
    <row r="478">
      <c r="A478" s="44"/>
      <c r="B478" s="44"/>
    </row>
    <row r="479">
      <c r="A479" s="44"/>
      <c r="B479" s="44"/>
    </row>
    <row r="480">
      <c r="A480" s="44"/>
      <c r="B480" s="44"/>
    </row>
    <row r="481">
      <c r="A481" s="44"/>
      <c r="B481" s="44"/>
    </row>
    <row r="482">
      <c r="A482" s="44"/>
      <c r="B482" s="44"/>
    </row>
    <row r="483">
      <c r="A483" s="44"/>
      <c r="B483" s="44"/>
    </row>
    <row r="484">
      <c r="A484" s="44"/>
      <c r="B484" s="44"/>
    </row>
    <row r="485">
      <c r="A485" s="44"/>
      <c r="B485" s="44"/>
    </row>
    <row r="486">
      <c r="A486" s="44"/>
      <c r="B486" s="44"/>
    </row>
    <row r="487">
      <c r="A487" s="44"/>
      <c r="B487" s="44"/>
    </row>
    <row r="488">
      <c r="A488" s="44"/>
      <c r="B488" s="44"/>
    </row>
    <row r="489">
      <c r="A489" s="44"/>
      <c r="B489" s="44"/>
    </row>
    <row r="490">
      <c r="A490" s="44"/>
      <c r="B490" s="44"/>
    </row>
    <row r="491">
      <c r="A491" s="44"/>
      <c r="B491" s="44"/>
    </row>
    <row r="492">
      <c r="A492" s="44"/>
      <c r="B492" s="44"/>
    </row>
    <row r="493">
      <c r="A493" s="44"/>
      <c r="B493" s="44"/>
    </row>
    <row r="494">
      <c r="A494" s="44"/>
      <c r="B494" s="44"/>
    </row>
    <row r="495">
      <c r="A495" s="44"/>
      <c r="B495" s="44"/>
    </row>
    <row r="496">
      <c r="A496" s="44"/>
      <c r="B496" s="44"/>
    </row>
    <row r="497">
      <c r="A497" s="44"/>
      <c r="B497" s="44"/>
    </row>
    <row r="498">
      <c r="A498" s="44"/>
      <c r="B498" s="44"/>
    </row>
    <row r="499">
      <c r="A499" s="44"/>
      <c r="B499" s="44"/>
    </row>
    <row r="500">
      <c r="A500" s="44"/>
      <c r="B500" s="44"/>
    </row>
    <row r="501">
      <c r="A501" s="44"/>
      <c r="B501" s="44"/>
    </row>
    <row r="502">
      <c r="A502" s="44"/>
      <c r="B502" s="44"/>
    </row>
    <row r="503">
      <c r="A503" s="44"/>
      <c r="B503" s="44"/>
    </row>
    <row r="504">
      <c r="A504" s="44"/>
      <c r="B504" s="44"/>
    </row>
    <row r="505">
      <c r="A505" s="44"/>
      <c r="B505" s="44"/>
    </row>
    <row r="506">
      <c r="A506" s="44"/>
      <c r="B506" s="44"/>
    </row>
    <row r="507">
      <c r="A507" s="44"/>
      <c r="B507" s="44"/>
    </row>
    <row r="508">
      <c r="A508" s="44"/>
      <c r="B508" s="44"/>
    </row>
    <row r="509">
      <c r="A509" s="44"/>
      <c r="B509" s="44"/>
    </row>
    <row r="510">
      <c r="A510" s="44"/>
      <c r="B510" s="44"/>
    </row>
    <row r="511">
      <c r="A511" s="44"/>
      <c r="B511" s="44"/>
    </row>
    <row r="512">
      <c r="A512" s="44"/>
      <c r="B512" s="44"/>
    </row>
    <row r="513">
      <c r="A513" s="44"/>
      <c r="B513" s="44"/>
    </row>
    <row r="514">
      <c r="A514" s="44"/>
      <c r="B514" s="44"/>
    </row>
    <row r="515">
      <c r="A515" s="44"/>
      <c r="B515" s="44"/>
    </row>
    <row r="516">
      <c r="A516" s="44"/>
      <c r="B516" s="44"/>
    </row>
    <row r="517">
      <c r="A517" s="44"/>
      <c r="B517" s="44"/>
    </row>
    <row r="518">
      <c r="A518" s="44"/>
      <c r="B518" s="44"/>
    </row>
    <row r="519">
      <c r="A519" s="44"/>
      <c r="B519" s="44"/>
    </row>
    <row r="520">
      <c r="A520" s="44"/>
      <c r="B520" s="44"/>
    </row>
    <row r="521">
      <c r="A521" s="44"/>
      <c r="B521" s="44"/>
    </row>
    <row r="522">
      <c r="A522" s="44"/>
      <c r="B522" s="44"/>
    </row>
    <row r="523">
      <c r="A523" s="44"/>
      <c r="B523" s="44"/>
    </row>
    <row r="524">
      <c r="A524" s="44"/>
      <c r="B524" s="44"/>
    </row>
    <row r="525">
      <c r="A525" s="44"/>
      <c r="B525" s="44"/>
    </row>
    <row r="526">
      <c r="A526" s="44"/>
      <c r="B526" s="44"/>
    </row>
    <row r="527">
      <c r="A527" s="44"/>
      <c r="B527" s="44"/>
    </row>
    <row r="528">
      <c r="A528" s="44"/>
      <c r="B528" s="44"/>
    </row>
    <row r="529">
      <c r="A529" s="44"/>
      <c r="B529" s="44"/>
    </row>
    <row r="530">
      <c r="A530" s="44"/>
      <c r="B530" s="44"/>
    </row>
    <row r="531">
      <c r="A531" s="44"/>
      <c r="B531" s="44"/>
    </row>
    <row r="532">
      <c r="A532" s="44"/>
      <c r="B532" s="44"/>
    </row>
    <row r="533">
      <c r="A533" s="44"/>
      <c r="B533" s="44"/>
    </row>
    <row r="534">
      <c r="A534" s="44"/>
      <c r="B534" s="44"/>
    </row>
    <row r="535">
      <c r="A535" s="44"/>
      <c r="B535" s="44"/>
    </row>
    <row r="536">
      <c r="A536" s="44"/>
      <c r="B536" s="44"/>
    </row>
    <row r="537">
      <c r="A537" s="44"/>
      <c r="B537" s="44"/>
    </row>
    <row r="538">
      <c r="A538" s="44"/>
      <c r="B538" s="44"/>
    </row>
    <row r="539">
      <c r="A539" s="44"/>
      <c r="B539" s="44"/>
    </row>
    <row r="540">
      <c r="A540" s="44"/>
      <c r="B540" s="44"/>
    </row>
    <row r="541">
      <c r="A541" s="44"/>
      <c r="B541" s="44"/>
    </row>
    <row r="542">
      <c r="A542" s="44"/>
      <c r="B542" s="44"/>
    </row>
    <row r="543">
      <c r="A543" s="44"/>
      <c r="B543" s="44"/>
    </row>
    <row r="544">
      <c r="A544" s="44"/>
      <c r="B544" s="44"/>
    </row>
    <row r="545">
      <c r="A545" s="44"/>
      <c r="B545" s="44"/>
    </row>
    <row r="546">
      <c r="A546" s="44"/>
      <c r="B546" s="44"/>
    </row>
    <row r="547">
      <c r="A547" s="44"/>
      <c r="B547" s="44"/>
    </row>
    <row r="548">
      <c r="A548" s="44"/>
      <c r="B548" s="44"/>
    </row>
    <row r="549">
      <c r="A549" s="44"/>
      <c r="B549" s="44"/>
    </row>
    <row r="550">
      <c r="A550" s="44"/>
      <c r="B550" s="44"/>
    </row>
    <row r="551">
      <c r="A551" s="44"/>
      <c r="B551" s="44"/>
    </row>
    <row r="552">
      <c r="A552" s="44"/>
      <c r="B552" s="44"/>
    </row>
    <row r="553">
      <c r="A553" s="44"/>
      <c r="B553" s="44"/>
    </row>
    <row r="554">
      <c r="A554" s="44"/>
      <c r="B554" s="44"/>
    </row>
    <row r="555">
      <c r="A555" s="44"/>
      <c r="B555" s="44"/>
    </row>
    <row r="556">
      <c r="A556" s="44"/>
      <c r="B556" s="44"/>
    </row>
    <row r="557">
      <c r="A557" s="44"/>
      <c r="B557" s="44"/>
    </row>
    <row r="558">
      <c r="A558" s="44"/>
      <c r="B558" s="44"/>
    </row>
    <row r="559">
      <c r="A559" s="44"/>
      <c r="B559" s="44"/>
    </row>
    <row r="560">
      <c r="A560" s="44"/>
      <c r="B560" s="44"/>
    </row>
    <row r="561">
      <c r="A561" s="44"/>
      <c r="B561" s="44"/>
    </row>
    <row r="562">
      <c r="A562" s="44"/>
      <c r="B562" s="44"/>
    </row>
    <row r="563">
      <c r="A563" s="44"/>
      <c r="B563" s="44"/>
    </row>
    <row r="564">
      <c r="A564" s="44"/>
      <c r="B564" s="44"/>
    </row>
    <row r="565">
      <c r="A565" s="44"/>
      <c r="B565" s="44"/>
    </row>
    <row r="566">
      <c r="A566" s="44"/>
      <c r="B566" s="44"/>
    </row>
    <row r="567">
      <c r="A567" s="44"/>
      <c r="B567" s="44"/>
    </row>
    <row r="568">
      <c r="A568" s="44"/>
      <c r="B568" s="44"/>
    </row>
    <row r="569">
      <c r="A569" s="44"/>
      <c r="B569" s="44"/>
    </row>
    <row r="570">
      <c r="A570" s="44"/>
      <c r="B570" s="44"/>
    </row>
    <row r="571">
      <c r="A571" s="44"/>
      <c r="B571" s="44"/>
    </row>
    <row r="572">
      <c r="A572" s="44"/>
      <c r="B572" s="44"/>
    </row>
    <row r="573">
      <c r="A573" s="44"/>
      <c r="B573" s="44"/>
    </row>
    <row r="574">
      <c r="A574" s="44"/>
      <c r="B574" s="44"/>
    </row>
    <row r="575">
      <c r="A575" s="44"/>
      <c r="B575" s="44"/>
    </row>
    <row r="576">
      <c r="A576" s="44"/>
      <c r="B576" s="44"/>
    </row>
    <row r="577">
      <c r="A577" s="44"/>
      <c r="B577" s="44"/>
    </row>
    <row r="578">
      <c r="A578" s="44"/>
      <c r="B578" s="44"/>
    </row>
    <row r="579">
      <c r="A579" s="44"/>
      <c r="B579" s="44"/>
    </row>
    <row r="580">
      <c r="A580" s="44"/>
      <c r="B580" s="44"/>
    </row>
    <row r="581">
      <c r="A581" s="44"/>
      <c r="B581" s="44"/>
    </row>
    <row r="582">
      <c r="A582" s="44"/>
      <c r="B582" s="44"/>
    </row>
    <row r="583">
      <c r="A583" s="44"/>
      <c r="B583" s="44"/>
    </row>
    <row r="584">
      <c r="A584" s="44"/>
      <c r="B584" s="44"/>
    </row>
    <row r="585">
      <c r="A585" s="44"/>
      <c r="B585" s="44"/>
    </row>
    <row r="586">
      <c r="A586" s="44"/>
      <c r="B586" s="44"/>
    </row>
    <row r="587">
      <c r="A587" s="44"/>
      <c r="B587" s="44"/>
    </row>
    <row r="588">
      <c r="A588" s="44"/>
      <c r="B588" s="44"/>
    </row>
    <row r="589">
      <c r="A589" s="44"/>
      <c r="B589" s="44"/>
    </row>
    <row r="590">
      <c r="A590" s="44"/>
      <c r="B590" s="44"/>
    </row>
    <row r="591">
      <c r="A591" s="44"/>
      <c r="B591" s="44"/>
    </row>
    <row r="592">
      <c r="A592" s="44"/>
      <c r="B592" s="44"/>
    </row>
    <row r="593">
      <c r="A593" s="44"/>
      <c r="B593" s="44"/>
    </row>
    <row r="594">
      <c r="A594" s="44"/>
      <c r="B594" s="44"/>
    </row>
    <row r="595">
      <c r="A595" s="44"/>
      <c r="B595" s="44"/>
    </row>
    <row r="596">
      <c r="A596" s="44"/>
      <c r="B596" s="44"/>
    </row>
    <row r="597">
      <c r="A597" s="44"/>
      <c r="B597" s="44"/>
    </row>
    <row r="598">
      <c r="A598" s="44"/>
      <c r="B598" s="44"/>
    </row>
    <row r="599">
      <c r="A599" s="44"/>
      <c r="B599" s="44"/>
    </row>
    <row r="600">
      <c r="A600" s="44"/>
      <c r="B600" s="44"/>
    </row>
    <row r="601">
      <c r="A601" s="44"/>
      <c r="B601" s="44"/>
    </row>
    <row r="602">
      <c r="A602" s="44"/>
      <c r="B602" s="44"/>
    </row>
    <row r="603">
      <c r="A603" s="44"/>
      <c r="B603" s="44"/>
    </row>
    <row r="604">
      <c r="A604" s="44"/>
      <c r="B604" s="44"/>
    </row>
    <row r="605">
      <c r="A605" s="44"/>
      <c r="B605" s="44"/>
    </row>
    <row r="606">
      <c r="A606" s="44"/>
      <c r="B606" s="44"/>
    </row>
    <row r="607">
      <c r="A607" s="44"/>
      <c r="B607" s="44"/>
    </row>
    <row r="608">
      <c r="A608" s="44"/>
      <c r="B608" s="44"/>
    </row>
    <row r="609">
      <c r="A609" s="44"/>
      <c r="B609" s="44"/>
    </row>
    <row r="610">
      <c r="A610" s="44"/>
      <c r="B610" s="44"/>
    </row>
    <row r="611">
      <c r="A611" s="44"/>
      <c r="B611" s="44"/>
    </row>
    <row r="612">
      <c r="A612" s="44"/>
      <c r="B612" s="44"/>
    </row>
    <row r="613">
      <c r="A613" s="44"/>
      <c r="B613" s="44"/>
    </row>
    <row r="614">
      <c r="A614" s="44"/>
      <c r="B614" s="44"/>
    </row>
    <row r="615">
      <c r="A615" s="44"/>
      <c r="B615" s="44"/>
    </row>
    <row r="616">
      <c r="A616" s="44"/>
      <c r="B616" s="44"/>
    </row>
    <row r="617">
      <c r="A617" s="44"/>
      <c r="B617" s="44"/>
    </row>
    <row r="618">
      <c r="A618" s="44"/>
      <c r="B618" s="44"/>
    </row>
    <row r="619">
      <c r="A619" s="44"/>
      <c r="B619" s="44"/>
    </row>
    <row r="620">
      <c r="A620" s="44"/>
      <c r="B620" s="44"/>
    </row>
    <row r="621">
      <c r="A621" s="44"/>
      <c r="B621" s="44"/>
    </row>
    <row r="622">
      <c r="A622" s="44"/>
      <c r="B622" s="44"/>
    </row>
    <row r="623">
      <c r="A623" s="44"/>
      <c r="B623" s="44"/>
    </row>
    <row r="624">
      <c r="A624" s="44"/>
      <c r="B624" s="44"/>
    </row>
    <row r="625">
      <c r="A625" s="44"/>
      <c r="B625" s="44"/>
    </row>
    <row r="626">
      <c r="A626" s="44"/>
      <c r="B626" s="44"/>
    </row>
    <row r="627">
      <c r="A627" s="44"/>
      <c r="B627" s="44"/>
    </row>
    <row r="628">
      <c r="A628" s="44"/>
      <c r="B628" s="44"/>
    </row>
    <row r="629">
      <c r="A629" s="44"/>
      <c r="B629" s="44"/>
    </row>
    <row r="630">
      <c r="A630" s="44"/>
      <c r="B630" s="44"/>
    </row>
    <row r="631">
      <c r="A631" s="44"/>
      <c r="B631" s="44"/>
    </row>
    <row r="632">
      <c r="A632" s="44"/>
      <c r="B632" s="44"/>
    </row>
    <row r="633">
      <c r="A633" s="44"/>
      <c r="B633" s="44"/>
    </row>
    <row r="634">
      <c r="A634" s="44"/>
      <c r="B634" s="44"/>
    </row>
    <row r="635">
      <c r="A635" s="44"/>
      <c r="B635" s="44"/>
    </row>
    <row r="636">
      <c r="A636" s="44"/>
      <c r="B636" s="44"/>
    </row>
    <row r="637">
      <c r="A637" s="44"/>
      <c r="B637" s="44"/>
    </row>
    <row r="638">
      <c r="A638" s="44"/>
      <c r="B638" s="44"/>
    </row>
    <row r="639">
      <c r="A639" s="44"/>
      <c r="B639" s="44"/>
    </row>
    <row r="640">
      <c r="A640" s="44"/>
      <c r="B640" s="44"/>
    </row>
    <row r="641">
      <c r="A641" s="44"/>
      <c r="B641" s="44"/>
    </row>
    <row r="642">
      <c r="A642" s="44"/>
      <c r="B642" s="44"/>
    </row>
    <row r="643">
      <c r="A643" s="44"/>
      <c r="B643" s="44"/>
    </row>
    <row r="644">
      <c r="A644" s="44"/>
      <c r="B644" s="44"/>
    </row>
    <row r="645">
      <c r="A645" s="44"/>
      <c r="B645" s="44"/>
    </row>
    <row r="646">
      <c r="A646" s="44"/>
      <c r="B646" s="44"/>
    </row>
    <row r="647">
      <c r="A647" s="44"/>
      <c r="B647" s="44"/>
    </row>
    <row r="648">
      <c r="A648" s="44"/>
      <c r="B648" s="44"/>
    </row>
    <row r="649">
      <c r="A649" s="44"/>
      <c r="B649" s="44"/>
    </row>
    <row r="650">
      <c r="A650" s="44"/>
      <c r="B650" s="44"/>
    </row>
    <row r="651">
      <c r="A651" s="44"/>
      <c r="B651" s="44"/>
    </row>
    <row r="652">
      <c r="A652" s="44"/>
      <c r="B652" s="44"/>
    </row>
    <row r="653">
      <c r="A653" s="44"/>
      <c r="B653" s="44"/>
    </row>
    <row r="654">
      <c r="A654" s="44"/>
      <c r="B654" s="44"/>
    </row>
    <row r="655">
      <c r="A655" s="44"/>
      <c r="B655" s="44"/>
    </row>
    <row r="656">
      <c r="A656" s="44"/>
      <c r="B656" s="44"/>
    </row>
    <row r="657">
      <c r="A657" s="44"/>
      <c r="B657" s="44"/>
    </row>
    <row r="658">
      <c r="A658" s="44"/>
      <c r="B658" s="44"/>
    </row>
    <row r="659">
      <c r="A659" s="44"/>
      <c r="B659" s="44"/>
    </row>
    <row r="660">
      <c r="A660" s="44"/>
      <c r="B660" s="44"/>
    </row>
    <row r="661">
      <c r="A661" s="44"/>
      <c r="B661" s="44"/>
    </row>
    <row r="662">
      <c r="A662" s="44"/>
      <c r="B662" s="44"/>
    </row>
    <row r="663">
      <c r="A663" s="44"/>
      <c r="B663" s="44"/>
    </row>
    <row r="664">
      <c r="A664" s="44"/>
      <c r="B664" s="44"/>
    </row>
    <row r="665">
      <c r="A665" s="44"/>
      <c r="B665" s="44"/>
    </row>
    <row r="666">
      <c r="A666" s="44"/>
      <c r="B666" s="44"/>
    </row>
    <row r="667">
      <c r="A667" s="44"/>
      <c r="B667" s="44"/>
    </row>
    <row r="668">
      <c r="A668" s="44"/>
      <c r="B668" s="44"/>
    </row>
    <row r="669">
      <c r="A669" s="44"/>
      <c r="B669" s="44"/>
    </row>
    <row r="670">
      <c r="A670" s="44"/>
      <c r="B670" s="44"/>
    </row>
    <row r="671">
      <c r="A671" s="44"/>
      <c r="B671" s="44"/>
    </row>
    <row r="672">
      <c r="A672" s="44"/>
      <c r="B672" s="44"/>
    </row>
    <row r="673">
      <c r="A673" s="44"/>
      <c r="B673" s="44"/>
    </row>
    <row r="674">
      <c r="A674" s="44"/>
      <c r="B674" s="44"/>
    </row>
    <row r="675">
      <c r="A675" s="44"/>
      <c r="B675" s="44"/>
    </row>
    <row r="676">
      <c r="A676" s="44"/>
      <c r="B676" s="44"/>
    </row>
    <row r="677">
      <c r="A677" s="44"/>
      <c r="B677" s="44"/>
    </row>
    <row r="678">
      <c r="A678" s="44"/>
      <c r="B678" s="44"/>
    </row>
    <row r="679">
      <c r="A679" s="44"/>
      <c r="B679" s="44"/>
    </row>
    <row r="680">
      <c r="A680" s="44"/>
      <c r="B680" s="44"/>
    </row>
    <row r="681">
      <c r="A681" s="44"/>
      <c r="B681" s="44"/>
    </row>
    <row r="682">
      <c r="A682" s="44"/>
      <c r="B682" s="44"/>
    </row>
    <row r="683">
      <c r="A683" s="44"/>
      <c r="B683" s="44"/>
    </row>
    <row r="684">
      <c r="A684" s="44"/>
      <c r="B684" s="44"/>
    </row>
    <row r="685">
      <c r="A685" s="44"/>
      <c r="B685" s="44"/>
    </row>
    <row r="686">
      <c r="A686" s="44"/>
      <c r="B686" s="44"/>
    </row>
    <row r="687">
      <c r="A687" s="44"/>
      <c r="B687" s="44"/>
    </row>
    <row r="688">
      <c r="A688" s="44"/>
      <c r="B688" s="44"/>
    </row>
    <row r="689">
      <c r="A689" s="44"/>
      <c r="B689" s="44"/>
    </row>
    <row r="690">
      <c r="A690" s="44"/>
      <c r="B690" s="44"/>
    </row>
    <row r="691">
      <c r="A691" s="44"/>
      <c r="B691" s="44"/>
    </row>
    <row r="692">
      <c r="A692" s="44"/>
      <c r="B692" s="44"/>
    </row>
    <row r="693">
      <c r="A693" s="44"/>
      <c r="B693" s="44"/>
    </row>
    <row r="694">
      <c r="A694" s="44"/>
      <c r="B694" s="44"/>
    </row>
    <row r="695">
      <c r="A695" s="44"/>
      <c r="B695" s="44"/>
    </row>
    <row r="696">
      <c r="A696" s="44"/>
      <c r="B696" s="44"/>
    </row>
    <row r="697">
      <c r="A697" s="44"/>
      <c r="B697" s="44"/>
    </row>
    <row r="698">
      <c r="A698" s="44"/>
      <c r="B698" s="44"/>
    </row>
    <row r="699">
      <c r="A699" s="44"/>
      <c r="B699" s="44"/>
    </row>
    <row r="700">
      <c r="A700" s="44"/>
      <c r="B700" s="44"/>
    </row>
    <row r="701">
      <c r="A701" s="44"/>
      <c r="B701" s="44"/>
    </row>
    <row r="702">
      <c r="A702" s="44"/>
      <c r="B702" s="44"/>
    </row>
    <row r="703">
      <c r="A703" s="44"/>
      <c r="B703" s="44"/>
    </row>
    <row r="704">
      <c r="A704" s="44"/>
      <c r="B704" s="44"/>
    </row>
    <row r="705">
      <c r="A705" s="44"/>
      <c r="B705" s="44"/>
    </row>
    <row r="706">
      <c r="A706" s="44"/>
      <c r="B706" s="44"/>
    </row>
    <row r="707">
      <c r="A707" s="44"/>
      <c r="B707" s="44"/>
    </row>
    <row r="708">
      <c r="A708" s="44"/>
      <c r="B708" s="44"/>
    </row>
    <row r="709">
      <c r="A709" s="44"/>
      <c r="B709" s="44"/>
    </row>
    <row r="710">
      <c r="A710" s="44"/>
      <c r="B710" s="44"/>
    </row>
    <row r="711">
      <c r="A711" s="44"/>
      <c r="B711" s="44"/>
    </row>
    <row r="712">
      <c r="A712" s="44"/>
      <c r="B712" s="44"/>
    </row>
    <row r="713">
      <c r="A713" s="44"/>
      <c r="B713" s="44"/>
    </row>
    <row r="714">
      <c r="A714" s="44"/>
      <c r="B714" s="44"/>
    </row>
    <row r="715">
      <c r="A715" s="44"/>
      <c r="B715" s="44"/>
    </row>
    <row r="716">
      <c r="A716" s="44"/>
      <c r="B716" s="44"/>
    </row>
    <row r="717">
      <c r="A717" s="44"/>
      <c r="B717" s="44"/>
    </row>
    <row r="718">
      <c r="A718" s="44"/>
      <c r="B718" s="44"/>
    </row>
    <row r="719">
      <c r="A719" s="44"/>
      <c r="B719" s="44"/>
    </row>
    <row r="720">
      <c r="A720" s="44"/>
      <c r="B720" s="44"/>
    </row>
    <row r="721">
      <c r="A721" s="44"/>
      <c r="B721" s="44"/>
    </row>
    <row r="722">
      <c r="A722" s="44"/>
      <c r="B722" s="44"/>
    </row>
    <row r="723">
      <c r="A723" s="44"/>
      <c r="B723" s="44"/>
    </row>
    <row r="724">
      <c r="A724" s="44"/>
      <c r="B724" s="44"/>
    </row>
    <row r="725">
      <c r="A725" s="44"/>
      <c r="B725" s="44"/>
    </row>
    <row r="726">
      <c r="A726" s="44"/>
      <c r="B726" s="44"/>
    </row>
    <row r="727">
      <c r="A727" s="44"/>
      <c r="B727" s="44"/>
    </row>
    <row r="728">
      <c r="A728" s="44"/>
      <c r="B728" s="44"/>
    </row>
    <row r="729">
      <c r="A729" s="44"/>
      <c r="B729" s="44"/>
    </row>
    <row r="730">
      <c r="A730" s="44"/>
      <c r="B730" s="44"/>
    </row>
    <row r="731">
      <c r="A731" s="44"/>
      <c r="B731" s="44"/>
    </row>
    <row r="732">
      <c r="A732" s="44"/>
      <c r="B732" s="44"/>
    </row>
    <row r="733">
      <c r="A733" s="44"/>
      <c r="B733" s="44"/>
    </row>
    <row r="734">
      <c r="A734" s="44"/>
      <c r="B734" s="44"/>
    </row>
    <row r="735">
      <c r="A735" s="44"/>
      <c r="B735" s="44"/>
    </row>
    <row r="736">
      <c r="A736" s="44"/>
      <c r="B736" s="44"/>
    </row>
    <row r="737">
      <c r="A737" s="44"/>
      <c r="B737" s="44"/>
    </row>
    <row r="738">
      <c r="A738" s="44"/>
      <c r="B738" s="44"/>
    </row>
    <row r="739">
      <c r="A739" s="44"/>
      <c r="B739" s="44"/>
    </row>
    <row r="740">
      <c r="A740" s="44"/>
      <c r="B740" s="44"/>
    </row>
    <row r="741">
      <c r="A741" s="44"/>
      <c r="B741" s="44"/>
    </row>
    <row r="742">
      <c r="A742" s="44"/>
      <c r="B742" s="44"/>
    </row>
    <row r="743">
      <c r="A743" s="44"/>
      <c r="B743" s="44"/>
    </row>
    <row r="744">
      <c r="A744" s="44"/>
      <c r="B744" s="44"/>
    </row>
    <row r="745">
      <c r="A745" s="44"/>
      <c r="B745" s="44"/>
    </row>
    <row r="746">
      <c r="A746" s="44"/>
      <c r="B746" s="44"/>
    </row>
    <row r="747">
      <c r="A747" s="44"/>
      <c r="B747" s="44"/>
    </row>
    <row r="748">
      <c r="A748" s="44"/>
      <c r="B748" s="44"/>
    </row>
    <row r="749">
      <c r="A749" s="44"/>
      <c r="B749" s="44"/>
    </row>
    <row r="750">
      <c r="A750" s="44"/>
      <c r="B750" s="44"/>
    </row>
    <row r="751">
      <c r="A751" s="44"/>
      <c r="B751" s="44"/>
    </row>
    <row r="752">
      <c r="A752" s="44"/>
      <c r="B752" s="44"/>
    </row>
    <row r="753">
      <c r="A753" s="44"/>
      <c r="B753" s="44"/>
    </row>
    <row r="754">
      <c r="A754" s="44"/>
      <c r="B754" s="44"/>
    </row>
    <row r="755">
      <c r="A755" s="44"/>
      <c r="B755" s="44"/>
    </row>
    <row r="756">
      <c r="A756" s="44"/>
      <c r="B756" s="44"/>
    </row>
    <row r="757">
      <c r="A757" s="44"/>
      <c r="B757" s="44"/>
    </row>
    <row r="758">
      <c r="A758" s="44"/>
      <c r="B758" s="44"/>
    </row>
    <row r="759">
      <c r="A759" s="44"/>
      <c r="B759" s="44"/>
    </row>
    <row r="760">
      <c r="A760" s="44"/>
      <c r="B760" s="44"/>
    </row>
    <row r="761">
      <c r="A761" s="44"/>
      <c r="B761" s="44"/>
    </row>
    <row r="762">
      <c r="A762" s="44"/>
      <c r="B762" s="44"/>
    </row>
    <row r="763">
      <c r="A763" s="44"/>
      <c r="B763" s="44"/>
    </row>
    <row r="764">
      <c r="A764" s="44"/>
      <c r="B764" s="44"/>
    </row>
    <row r="765">
      <c r="A765" s="44"/>
      <c r="B765" s="44"/>
    </row>
    <row r="766">
      <c r="A766" s="44"/>
      <c r="B766" s="44"/>
    </row>
    <row r="767">
      <c r="A767" s="44"/>
      <c r="B767" s="44"/>
    </row>
    <row r="768">
      <c r="A768" s="44"/>
      <c r="B768" s="44"/>
    </row>
    <row r="769">
      <c r="A769" s="44"/>
      <c r="B769" s="44"/>
    </row>
    <row r="770">
      <c r="A770" s="44"/>
      <c r="B770" s="44"/>
    </row>
    <row r="771">
      <c r="A771" s="44"/>
      <c r="B771" s="44"/>
    </row>
    <row r="772">
      <c r="A772" s="44"/>
      <c r="B772" s="44"/>
    </row>
    <row r="773">
      <c r="A773" s="44"/>
      <c r="B773" s="44"/>
    </row>
    <row r="774">
      <c r="A774" s="44"/>
      <c r="B774" s="44"/>
    </row>
    <row r="775">
      <c r="A775" s="44"/>
      <c r="B775" s="44"/>
    </row>
    <row r="776">
      <c r="A776" s="44"/>
      <c r="B776" s="44"/>
    </row>
    <row r="777">
      <c r="A777" s="44"/>
      <c r="B777" s="44"/>
    </row>
    <row r="778">
      <c r="A778" s="44"/>
      <c r="B778" s="44"/>
    </row>
    <row r="779">
      <c r="A779" s="44"/>
      <c r="B779" s="44"/>
    </row>
    <row r="780">
      <c r="A780" s="44"/>
      <c r="B780" s="44"/>
    </row>
    <row r="781">
      <c r="A781" s="44"/>
      <c r="B781" s="44"/>
    </row>
    <row r="782">
      <c r="A782" s="44"/>
      <c r="B782" s="44"/>
    </row>
    <row r="783">
      <c r="A783" s="44"/>
      <c r="B783" s="44"/>
    </row>
    <row r="784">
      <c r="A784" s="44"/>
      <c r="B784" s="44"/>
    </row>
    <row r="785">
      <c r="A785" s="44"/>
      <c r="B785" s="44"/>
    </row>
    <row r="786">
      <c r="A786" s="44"/>
      <c r="B786" s="44"/>
    </row>
    <row r="787">
      <c r="A787" s="44"/>
      <c r="B787" s="44"/>
    </row>
    <row r="788">
      <c r="A788" s="44"/>
      <c r="B788" s="44"/>
    </row>
    <row r="789">
      <c r="A789" s="44"/>
      <c r="B789" s="44"/>
    </row>
    <row r="790">
      <c r="A790" s="44"/>
      <c r="B790" s="44"/>
    </row>
    <row r="791">
      <c r="A791" s="44"/>
      <c r="B791" s="44"/>
    </row>
    <row r="792">
      <c r="A792" s="44"/>
      <c r="B792" s="44"/>
    </row>
    <row r="793">
      <c r="A793" s="44"/>
      <c r="B793" s="44"/>
    </row>
    <row r="794">
      <c r="A794" s="44"/>
      <c r="B794" s="44"/>
    </row>
    <row r="795">
      <c r="A795" s="44"/>
      <c r="B795" s="44"/>
    </row>
    <row r="796">
      <c r="A796" s="44"/>
      <c r="B796" s="44"/>
    </row>
    <row r="797">
      <c r="A797" s="44"/>
      <c r="B797" s="44"/>
    </row>
    <row r="798">
      <c r="A798" s="44"/>
      <c r="B798" s="44"/>
    </row>
    <row r="799">
      <c r="A799" s="44"/>
      <c r="B799" s="44"/>
    </row>
    <row r="800">
      <c r="A800" s="44"/>
      <c r="B800" s="44"/>
    </row>
    <row r="801">
      <c r="A801" s="44"/>
      <c r="B801" s="44"/>
    </row>
    <row r="802">
      <c r="A802" s="44"/>
      <c r="B802" s="44"/>
    </row>
    <row r="803">
      <c r="A803" s="44"/>
      <c r="B803" s="44"/>
    </row>
    <row r="804">
      <c r="A804" s="44"/>
      <c r="B804" s="44"/>
    </row>
    <row r="805">
      <c r="A805" s="44"/>
      <c r="B805" s="44"/>
    </row>
    <row r="806">
      <c r="A806" s="44"/>
      <c r="B806" s="44"/>
    </row>
    <row r="807">
      <c r="A807" s="44"/>
      <c r="B807" s="44"/>
    </row>
    <row r="808">
      <c r="A808" s="44"/>
      <c r="B808" s="44"/>
    </row>
    <row r="809">
      <c r="A809" s="44"/>
      <c r="B809" s="44"/>
    </row>
    <row r="810">
      <c r="A810" s="44"/>
      <c r="B810" s="44"/>
    </row>
    <row r="811">
      <c r="A811" s="44"/>
      <c r="B811" s="44"/>
    </row>
    <row r="812">
      <c r="A812" s="44"/>
      <c r="B812" s="44"/>
    </row>
    <row r="813">
      <c r="A813" s="44"/>
      <c r="B813" s="44"/>
    </row>
    <row r="814">
      <c r="A814" s="44"/>
      <c r="B814" s="44"/>
    </row>
    <row r="815">
      <c r="A815" s="44"/>
      <c r="B815" s="44"/>
    </row>
    <row r="816">
      <c r="A816" s="44"/>
      <c r="B816" s="44"/>
    </row>
    <row r="817">
      <c r="A817" s="44"/>
      <c r="B817" s="44"/>
    </row>
    <row r="818">
      <c r="A818" s="44"/>
      <c r="B818" s="44"/>
    </row>
    <row r="819">
      <c r="A819" s="44"/>
      <c r="B819" s="44"/>
    </row>
    <row r="820">
      <c r="A820" s="44"/>
      <c r="B820" s="44"/>
    </row>
    <row r="821">
      <c r="A821" s="44"/>
      <c r="B821" s="44"/>
    </row>
    <row r="822">
      <c r="A822" s="44"/>
      <c r="B822" s="44"/>
    </row>
    <row r="823">
      <c r="A823" s="44"/>
      <c r="B823" s="44"/>
    </row>
    <row r="824">
      <c r="A824" s="44"/>
      <c r="B824" s="44"/>
    </row>
    <row r="825">
      <c r="A825" s="44"/>
      <c r="B825" s="44"/>
    </row>
    <row r="826">
      <c r="A826" s="44"/>
      <c r="B826" s="44"/>
    </row>
    <row r="827">
      <c r="A827" s="44"/>
      <c r="B827" s="44"/>
    </row>
    <row r="828">
      <c r="A828" s="44"/>
      <c r="B828" s="44"/>
    </row>
    <row r="829">
      <c r="A829" s="44"/>
      <c r="B829" s="44"/>
    </row>
    <row r="830">
      <c r="A830" s="44"/>
      <c r="B830" s="44"/>
    </row>
    <row r="831">
      <c r="A831" s="44"/>
      <c r="B831" s="44"/>
    </row>
    <row r="832">
      <c r="A832" s="44"/>
      <c r="B832" s="44"/>
    </row>
    <row r="833">
      <c r="A833" s="44"/>
      <c r="B833" s="44"/>
    </row>
    <row r="834">
      <c r="A834" s="44"/>
      <c r="B834" s="44"/>
    </row>
    <row r="835">
      <c r="A835" s="44"/>
      <c r="B835" s="44"/>
    </row>
    <row r="836">
      <c r="A836" s="44"/>
      <c r="B836" s="44"/>
    </row>
    <row r="837">
      <c r="A837" s="44"/>
      <c r="B837" s="44"/>
    </row>
    <row r="838">
      <c r="A838" s="44"/>
      <c r="B838" s="44"/>
    </row>
    <row r="839">
      <c r="A839" s="44"/>
      <c r="B839" s="44"/>
    </row>
    <row r="840">
      <c r="A840" s="44"/>
      <c r="B840" s="44"/>
    </row>
    <row r="841">
      <c r="A841" s="44"/>
      <c r="B841" s="44"/>
    </row>
    <row r="842">
      <c r="A842" s="44"/>
      <c r="B842" s="44"/>
    </row>
    <row r="843">
      <c r="A843" s="44"/>
      <c r="B843" s="44"/>
    </row>
    <row r="844">
      <c r="A844" s="44"/>
      <c r="B844" s="44"/>
    </row>
    <row r="845">
      <c r="A845" s="44"/>
      <c r="B845" s="44"/>
    </row>
    <row r="846">
      <c r="A846" s="44"/>
      <c r="B846" s="44"/>
    </row>
    <row r="847">
      <c r="A847" s="44"/>
      <c r="B847" s="44"/>
    </row>
    <row r="848">
      <c r="A848" s="44"/>
      <c r="B848" s="44"/>
    </row>
    <row r="849">
      <c r="A849" s="44"/>
      <c r="B849" s="44"/>
    </row>
    <row r="850">
      <c r="A850" s="44"/>
      <c r="B850" s="44"/>
    </row>
    <row r="851">
      <c r="A851" s="44"/>
      <c r="B851" s="44"/>
    </row>
    <row r="852">
      <c r="A852" s="44"/>
      <c r="B852" s="44"/>
    </row>
    <row r="853">
      <c r="A853" s="44"/>
      <c r="B853" s="44"/>
    </row>
    <row r="854">
      <c r="A854" s="44"/>
      <c r="B854" s="44"/>
    </row>
    <row r="855">
      <c r="A855" s="44"/>
      <c r="B855" s="44"/>
    </row>
    <row r="856">
      <c r="A856" s="44"/>
      <c r="B856" s="44"/>
    </row>
    <row r="857">
      <c r="A857" s="44"/>
      <c r="B857" s="44"/>
    </row>
    <row r="858">
      <c r="A858" s="44"/>
      <c r="B858" s="44"/>
    </row>
    <row r="859">
      <c r="A859" s="44"/>
      <c r="B859" s="44"/>
    </row>
    <row r="860">
      <c r="A860" s="44"/>
      <c r="B860" s="44"/>
    </row>
    <row r="861">
      <c r="A861" s="44"/>
      <c r="B861" s="44"/>
    </row>
    <row r="862">
      <c r="A862" s="44"/>
      <c r="B862" s="44"/>
    </row>
    <row r="863">
      <c r="A863" s="44"/>
      <c r="B863" s="44"/>
    </row>
    <row r="864">
      <c r="A864" s="44"/>
      <c r="B864" s="44"/>
    </row>
    <row r="865">
      <c r="A865" s="44"/>
      <c r="B865" s="44"/>
    </row>
    <row r="866">
      <c r="A866" s="44"/>
      <c r="B866" s="44"/>
    </row>
    <row r="867">
      <c r="A867" s="44"/>
      <c r="B867" s="44"/>
    </row>
    <row r="868">
      <c r="A868" s="44"/>
      <c r="B868" s="44"/>
    </row>
    <row r="869">
      <c r="A869" s="44"/>
      <c r="B869" s="44"/>
    </row>
    <row r="870">
      <c r="A870" s="44"/>
      <c r="B870" s="44"/>
    </row>
    <row r="871">
      <c r="A871" s="44"/>
      <c r="B871" s="44"/>
    </row>
    <row r="872">
      <c r="A872" s="44"/>
      <c r="B872" s="44"/>
    </row>
    <row r="873">
      <c r="A873" s="44"/>
      <c r="B873" s="44"/>
    </row>
    <row r="874">
      <c r="A874" s="44"/>
      <c r="B874" s="44"/>
    </row>
    <row r="875">
      <c r="A875" s="44"/>
      <c r="B875" s="44"/>
    </row>
    <row r="876">
      <c r="A876" s="44"/>
      <c r="B876" s="44"/>
    </row>
    <row r="877">
      <c r="A877" s="44"/>
      <c r="B877" s="44"/>
    </row>
    <row r="878">
      <c r="A878" s="44"/>
      <c r="B878" s="44"/>
    </row>
    <row r="879">
      <c r="A879" s="44"/>
      <c r="B879" s="44"/>
    </row>
    <row r="880">
      <c r="A880" s="44"/>
      <c r="B880" s="44"/>
    </row>
    <row r="881">
      <c r="A881" s="44"/>
      <c r="B881" s="44"/>
    </row>
    <row r="882">
      <c r="A882" s="44"/>
      <c r="B882" s="44"/>
    </row>
    <row r="883">
      <c r="A883" s="44"/>
      <c r="B883" s="44"/>
    </row>
    <row r="884">
      <c r="A884" s="44"/>
      <c r="B884" s="44"/>
    </row>
    <row r="885">
      <c r="A885" s="44"/>
      <c r="B885" s="44"/>
    </row>
    <row r="886">
      <c r="A886" s="44"/>
      <c r="B886" s="44"/>
    </row>
    <row r="887">
      <c r="A887" s="44"/>
      <c r="B887" s="44"/>
    </row>
    <row r="888">
      <c r="A888" s="44"/>
      <c r="B888" s="44"/>
    </row>
    <row r="889">
      <c r="A889" s="44"/>
      <c r="B889" s="44"/>
    </row>
    <row r="890">
      <c r="A890" s="44"/>
      <c r="B890" s="44"/>
    </row>
    <row r="891">
      <c r="A891" s="44"/>
      <c r="B891" s="44"/>
    </row>
    <row r="892">
      <c r="A892" s="44"/>
      <c r="B892" s="44"/>
    </row>
    <row r="893">
      <c r="A893" s="44"/>
      <c r="B893" s="44"/>
    </row>
    <row r="894">
      <c r="A894" s="44"/>
      <c r="B894" s="44"/>
    </row>
    <row r="895">
      <c r="A895" s="44"/>
      <c r="B895" s="44"/>
    </row>
    <row r="896">
      <c r="A896" s="44"/>
      <c r="B896" s="44"/>
    </row>
    <row r="897">
      <c r="A897" s="44"/>
      <c r="B897" s="44"/>
    </row>
    <row r="898">
      <c r="A898" s="44"/>
      <c r="B898" s="44"/>
    </row>
    <row r="899">
      <c r="A899" s="44"/>
      <c r="B899" s="44"/>
    </row>
    <row r="900">
      <c r="A900" s="44"/>
      <c r="B900" s="44"/>
    </row>
    <row r="901">
      <c r="A901" s="44"/>
      <c r="B901" s="44"/>
    </row>
    <row r="902">
      <c r="A902" s="44"/>
      <c r="B902" s="44"/>
    </row>
    <row r="903">
      <c r="A903" s="44"/>
      <c r="B903" s="44"/>
    </row>
    <row r="904">
      <c r="A904" s="44"/>
      <c r="B904" s="44"/>
    </row>
    <row r="905">
      <c r="A905" s="44"/>
      <c r="B905" s="44"/>
    </row>
    <row r="906">
      <c r="A906" s="44"/>
      <c r="B906" s="44"/>
    </row>
    <row r="907">
      <c r="A907" s="44"/>
      <c r="B907" s="44"/>
    </row>
    <row r="908">
      <c r="A908" s="44"/>
      <c r="B908" s="44"/>
    </row>
    <row r="909">
      <c r="A909" s="44"/>
      <c r="B909" s="44"/>
    </row>
    <row r="910">
      <c r="A910" s="44"/>
      <c r="B910" s="44"/>
    </row>
    <row r="911">
      <c r="A911" s="44"/>
      <c r="B911" s="44"/>
    </row>
    <row r="912">
      <c r="A912" s="44"/>
      <c r="B912" s="44"/>
    </row>
    <row r="913">
      <c r="A913" s="44"/>
      <c r="B913" s="44"/>
    </row>
    <row r="914">
      <c r="A914" s="44"/>
      <c r="B914" s="44"/>
    </row>
    <row r="915">
      <c r="A915" s="44"/>
      <c r="B915" s="44"/>
    </row>
    <row r="916">
      <c r="A916" s="44"/>
      <c r="B916" s="44"/>
    </row>
    <row r="917">
      <c r="A917" s="44"/>
      <c r="B917" s="44"/>
    </row>
    <row r="918">
      <c r="A918" s="44"/>
      <c r="B918" s="44"/>
    </row>
    <row r="919">
      <c r="A919" s="44"/>
      <c r="B919" s="44"/>
    </row>
    <row r="920">
      <c r="A920" s="44"/>
      <c r="B920" s="44"/>
    </row>
    <row r="921">
      <c r="A921" s="44"/>
      <c r="B921" s="44"/>
    </row>
    <row r="922">
      <c r="A922" s="44"/>
      <c r="B922" s="44"/>
    </row>
    <row r="923">
      <c r="A923" s="44"/>
      <c r="B923" s="44"/>
    </row>
    <row r="924">
      <c r="A924" s="44"/>
      <c r="B924" s="44"/>
    </row>
    <row r="925">
      <c r="A925" s="44"/>
      <c r="B925" s="44"/>
    </row>
    <row r="926">
      <c r="A926" s="44"/>
      <c r="B926" s="44"/>
    </row>
    <row r="927">
      <c r="A927" s="44"/>
      <c r="B927" s="44"/>
    </row>
    <row r="928">
      <c r="A928" s="44"/>
      <c r="B928" s="44"/>
    </row>
    <row r="929">
      <c r="A929" s="44"/>
      <c r="B929" s="44"/>
    </row>
    <row r="930">
      <c r="A930" s="44"/>
      <c r="B930" s="44"/>
    </row>
    <row r="931">
      <c r="A931" s="44"/>
      <c r="B931" s="44"/>
    </row>
    <row r="932">
      <c r="A932" s="44"/>
      <c r="B932" s="44"/>
    </row>
    <row r="933">
      <c r="A933" s="44"/>
      <c r="B933" s="44"/>
    </row>
    <row r="934">
      <c r="A934" s="44"/>
      <c r="B934" s="44"/>
    </row>
    <row r="935">
      <c r="A935" s="44"/>
      <c r="B935" s="44"/>
    </row>
    <row r="936">
      <c r="A936" s="44"/>
      <c r="B936" s="44"/>
    </row>
    <row r="937">
      <c r="A937" s="44"/>
      <c r="B937" s="44"/>
    </row>
    <row r="938">
      <c r="A938" s="44"/>
      <c r="B938" s="44"/>
    </row>
    <row r="939">
      <c r="A939" s="44"/>
      <c r="B939" s="44"/>
    </row>
    <row r="940">
      <c r="A940" s="44"/>
      <c r="B940" s="44"/>
    </row>
    <row r="941">
      <c r="A941" s="44"/>
      <c r="B941" s="44"/>
    </row>
    <row r="942">
      <c r="A942" s="44"/>
      <c r="B942" s="44"/>
    </row>
    <row r="943">
      <c r="A943" s="44"/>
      <c r="B943" s="44"/>
    </row>
    <row r="944">
      <c r="A944" s="44"/>
      <c r="B944" s="44"/>
    </row>
    <row r="945">
      <c r="A945" s="44"/>
      <c r="B945" s="44"/>
    </row>
    <row r="946">
      <c r="A946" s="44"/>
      <c r="B946" s="44"/>
    </row>
    <row r="947">
      <c r="A947" s="44"/>
      <c r="B947" s="44"/>
    </row>
    <row r="948">
      <c r="A948" s="44"/>
      <c r="B948" s="44"/>
    </row>
    <row r="949">
      <c r="A949" s="44"/>
      <c r="B949" s="44"/>
    </row>
    <row r="950">
      <c r="A950" s="44"/>
      <c r="B950" s="44"/>
    </row>
    <row r="951">
      <c r="A951" s="44"/>
      <c r="B951" s="44"/>
    </row>
    <row r="952">
      <c r="A952" s="44"/>
      <c r="B952" s="44"/>
    </row>
    <row r="953">
      <c r="A953" s="44"/>
      <c r="B953" s="44"/>
    </row>
    <row r="954">
      <c r="A954" s="44"/>
      <c r="B954" s="44"/>
    </row>
    <row r="955">
      <c r="A955" s="44"/>
      <c r="B955" s="44"/>
    </row>
    <row r="956">
      <c r="A956" s="44"/>
      <c r="B956" s="44"/>
    </row>
    <row r="957">
      <c r="A957" s="44"/>
      <c r="B957" s="44"/>
    </row>
    <row r="958">
      <c r="A958" s="44"/>
      <c r="B958" s="44"/>
    </row>
    <row r="959">
      <c r="A959" s="44"/>
      <c r="B959" s="44"/>
    </row>
    <row r="960">
      <c r="A960" s="44"/>
      <c r="B960" s="44"/>
    </row>
    <row r="961">
      <c r="A961" s="44"/>
      <c r="B961" s="44"/>
    </row>
    <row r="962">
      <c r="A962" s="44"/>
      <c r="B962" s="44"/>
    </row>
    <row r="963">
      <c r="A963" s="44"/>
      <c r="B963" s="44"/>
    </row>
    <row r="964">
      <c r="A964" s="44"/>
      <c r="B964" s="44"/>
    </row>
    <row r="965">
      <c r="A965" s="44"/>
      <c r="B965" s="44"/>
    </row>
    <row r="966">
      <c r="A966" s="44"/>
      <c r="B966" s="44"/>
    </row>
    <row r="967">
      <c r="A967" s="44"/>
      <c r="B967" s="44"/>
    </row>
    <row r="968">
      <c r="A968" s="44"/>
      <c r="B968" s="44"/>
    </row>
    <row r="969">
      <c r="A969" s="44"/>
      <c r="B969" s="44"/>
    </row>
    <row r="970">
      <c r="A970" s="44"/>
      <c r="B970" s="44"/>
    </row>
    <row r="971">
      <c r="A971" s="44"/>
      <c r="B971" s="44"/>
    </row>
    <row r="972">
      <c r="A972" s="44"/>
      <c r="B972" s="44"/>
    </row>
    <row r="973">
      <c r="A973" s="44"/>
      <c r="B973" s="44"/>
    </row>
    <row r="974">
      <c r="A974" s="44"/>
      <c r="B974" s="44"/>
    </row>
    <row r="975">
      <c r="A975" s="44"/>
      <c r="B975" s="44"/>
    </row>
    <row r="976">
      <c r="A976" s="44"/>
      <c r="B976" s="44"/>
    </row>
    <row r="977">
      <c r="A977" s="44"/>
      <c r="B977" s="44"/>
    </row>
    <row r="978">
      <c r="A978" s="44"/>
      <c r="B978" s="44"/>
    </row>
    <row r="979">
      <c r="A979" s="44"/>
      <c r="B979" s="44"/>
    </row>
    <row r="980">
      <c r="A980" s="44"/>
      <c r="B980" s="44"/>
    </row>
    <row r="981">
      <c r="A981" s="44"/>
      <c r="B981" s="44"/>
    </row>
    <row r="982">
      <c r="A982" s="44"/>
      <c r="B982" s="44"/>
    </row>
    <row r="983">
      <c r="A983" s="44"/>
      <c r="B983" s="44"/>
    </row>
    <row r="984">
      <c r="A984" s="44"/>
      <c r="B984" s="44"/>
    </row>
    <row r="985">
      <c r="A985" s="44"/>
      <c r="B985" s="44"/>
    </row>
    <row r="986">
      <c r="A986" s="44"/>
      <c r="B986" s="44"/>
    </row>
    <row r="987">
      <c r="A987" s="44"/>
      <c r="B987" s="44"/>
    </row>
    <row r="988">
      <c r="A988" s="44"/>
      <c r="B988" s="44"/>
    </row>
    <row r="989">
      <c r="A989" s="44"/>
      <c r="B989" s="44"/>
    </row>
    <row r="990">
      <c r="A990" s="44"/>
      <c r="B990" s="44"/>
    </row>
    <row r="991">
      <c r="A991" s="44"/>
      <c r="B991" s="44"/>
    </row>
    <row r="992">
      <c r="A992" s="44"/>
      <c r="B992" s="44"/>
    </row>
    <row r="993">
      <c r="A993" s="44"/>
      <c r="B993" s="44"/>
    </row>
    <row r="994">
      <c r="A994" s="44"/>
      <c r="B994" s="44"/>
    </row>
    <row r="995">
      <c r="A995" s="44"/>
      <c r="B995" s="44"/>
    </row>
    <row r="996">
      <c r="A996" s="44"/>
      <c r="B996" s="44"/>
    </row>
    <row r="997">
      <c r="A997" s="44"/>
      <c r="B997" s="44"/>
    </row>
    <row r="998">
      <c r="A998" s="44"/>
      <c r="B998" s="44"/>
    </row>
    <row r="999">
      <c r="A999" s="44"/>
      <c r="B999" s="44"/>
    </row>
    <row r="1000">
      <c r="A1000" s="44"/>
      <c r="B1000" s="44"/>
    </row>
    <row r="1001">
      <c r="A1001" s="44"/>
      <c r="B1001" s="44"/>
    </row>
    <row r="1002">
      <c r="A1002" s="44"/>
      <c r="B1002" s="44"/>
    </row>
    <row r="1003">
      <c r="A1003" s="44"/>
      <c r="B1003" s="44"/>
    </row>
    <row r="1004">
      <c r="A1004" s="44"/>
      <c r="B1004" s="44"/>
    </row>
    <row r="1005">
      <c r="A1005" s="44"/>
      <c r="B1005" s="44"/>
    </row>
    <row r="1006">
      <c r="A1006" s="44"/>
      <c r="B1006" s="44"/>
    </row>
    <row r="1007">
      <c r="A1007" s="44"/>
      <c r="B1007" s="44"/>
    </row>
  </sheetData>
  <mergeCells count="5">
    <mergeCell ref="B25:B26"/>
    <mergeCell ref="B28:H28"/>
    <mergeCell ref="B30:B32"/>
    <mergeCell ref="C31:C32"/>
    <mergeCell ref="D31:H32"/>
  </mergeCells>
  <hyperlinks>
    <hyperlink r:id="rId1" ref="D2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75" outlineLevelCol="1"/>
  <cols>
    <col customWidth="1" min="1" max="1" width="17.75"/>
    <col customWidth="1" min="2" max="2" width="14.38"/>
    <col customWidth="1" min="3" max="3" width="17.25"/>
    <col customWidth="1" min="4" max="4" width="15.88"/>
    <col customWidth="1" min="5" max="5" width="16.25"/>
    <col customWidth="1" min="6" max="6" width="25.13"/>
    <col customWidth="1" min="7" max="7" width="50.13"/>
    <col customWidth="1" min="8" max="8" width="25.13"/>
    <col min="10" max="19" width="12.63" outlineLevel="1"/>
    <col min="21" max="24" width="12.63" outlineLevel="1"/>
    <col customWidth="1" min="25" max="25" width="37.63" outlineLevel="1"/>
    <col min="26" max="26" width="12.63" outlineLevel="1"/>
    <col customWidth="1" min="27" max="27" width="37.63" outlineLevel="1"/>
    <col min="28" max="30" width="12.63" outlineLevel="1"/>
    <col customWidth="1" min="31" max="31" width="37.63" outlineLevel="1"/>
  </cols>
  <sheetData>
    <row r="1">
      <c r="A1" s="84" t="s">
        <v>82</v>
      </c>
      <c r="B1" s="84"/>
      <c r="C1" s="84"/>
      <c r="D1" s="85" t="s">
        <v>83</v>
      </c>
      <c r="E1" s="86"/>
      <c r="F1" s="87"/>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row>
    <row r="2">
      <c r="A2" s="88"/>
      <c r="B2" s="84"/>
      <c r="C2" s="84"/>
      <c r="D2" s="84" t="s">
        <v>84</v>
      </c>
      <c r="E2" s="84">
        <v>1.0</v>
      </c>
      <c r="F2" s="84"/>
      <c r="G2" s="84"/>
      <c r="H2" s="84"/>
      <c r="I2" s="88"/>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row>
    <row r="3">
      <c r="A3" s="88"/>
      <c r="B3" s="84"/>
      <c r="C3" s="84"/>
      <c r="D3" s="84" t="s">
        <v>85</v>
      </c>
      <c r="E3" s="84">
        <f>0.63+327.45/(885+(E2*1000))</f>
        <v>0.8037135279</v>
      </c>
      <c r="F3" s="84"/>
      <c r="G3" s="84"/>
      <c r="H3" s="84"/>
      <c r="I3" s="88"/>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row>
    <row r="4">
      <c r="A4" s="89" t="s">
        <v>86</v>
      </c>
      <c r="B4" s="89" t="s">
        <v>87</v>
      </c>
      <c r="C4" s="89" t="s">
        <v>88</v>
      </c>
      <c r="D4" s="89" t="s">
        <v>89</v>
      </c>
      <c r="E4" s="89" t="s">
        <v>90</v>
      </c>
      <c r="F4" s="90" t="s">
        <v>91</v>
      </c>
      <c r="G4" s="90" t="s">
        <v>92</v>
      </c>
      <c r="H4" s="90" t="s">
        <v>93</v>
      </c>
      <c r="I4" s="91" t="s">
        <v>94</v>
      </c>
      <c r="J4" s="92" t="s">
        <v>95</v>
      </c>
      <c r="K4" s="90" t="s">
        <v>96</v>
      </c>
      <c r="L4" s="89" t="s">
        <v>97</v>
      </c>
      <c r="M4" s="92" t="s">
        <v>95</v>
      </c>
      <c r="N4" s="89" t="s">
        <v>98</v>
      </c>
      <c r="O4" s="92" t="s">
        <v>95</v>
      </c>
      <c r="P4" s="89" t="s">
        <v>99</v>
      </c>
      <c r="Q4" s="92" t="s">
        <v>95</v>
      </c>
      <c r="R4" s="89" t="s">
        <v>100</v>
      </c>
      <c r="S4" s="92" t="s">
        <v>95</v>
      </c>
      <c r="T4" s="91" t="s">
        <v>101</v>
      </c>
      <c r="U4" s="92" t="s">
        <v>95</v>
      </c>
      <c r="V4" s="90" t="s">
        <v>102</v>
      </c>
      <c r="W4" s="92" t="s">
        <v>95</v>
      </c>
      <c r="X4" s="89" t="s">
        <v>97</v>
      </c>
      <c r="Y4" s="92" t="s">
        <v>95</v>
      </c>
      <c r="Z4" s="89" t="s">
        <v>98</v>
      </c>
      <c r="AA4" s="92" t="s">
        <v>95</v>
      </c>
      <c r="AB4" s="89" t="s">
        <v>99</v>
      </c>
      <c r="AC4" s="92" t="s">
        <v>95</v>
      </c>
      <c r="AD4" s="89" t="s">
        <v>100</v>
      </c>
      <c r="AE4" s="93" t="s">
        <v>95</v>
      </c>
      <c r="AF4" s="94"/>
      <c r="AG4" s="84"/>
      <c r="AH4" s="84"/>
      <c r="AI4" s="84"/>
      <c r="AJ4" s="84"/>
      <c r="AK4" s="84"/>
    </row>
    <row r="5">
      <c r="A5" s="70"/>
      <c r="B5" s="70"/>
      <c r="C5" s="70"/>
      <c r="D5" s="70"/>
      <c r="E5" s="70"/>
      <c r="F5" s="70"/>
      <c r="G5" s="70"/>
      <c r="H5" s="70"/>
      <c r="I5" s="91" t="s">
        <v>103</v>
      </c>
      <c r="J5" s="70"/>
      <c r="K5" s="70"/>
      <c r="L5" s="70"/>
      <c r="M5" s="70"/>
      <c r="N5" s="70"/>
      <c r="O5" s="70"/>
      <c r="P5" s="70"/>
      <c r="Q5" s="70"/>
      <c r="R5" s="70"/>
      <c r="S5" s="70"/>
      <c r="T5" s="91" t="s">
        <v>103</v>
      </c>
      <c r="U5" s="70"/>
      <c r="V5" s="70"/>
      <c r="W5" s="70"/>
      <c r="X5" s="70"/>
      <c r="Y5" s="70"/>
      <c r="Z5" s="70"/>
      <c r="AA5" s="70"/>
      <c r="AB5" s="70"/>
      <c r="AC5" s="70"/>
      <c r="AD5" s="70"/>
      <c r="AE5" s="95"/>
      <c r="AF5" s="94"/>
      <c r="AG5" s="84"/>
      <c r="AH5" s="84"/>
      <c r="AI5" s="84"/>
      <c r="AJ5" s="84"/>
      <c r="AK5" s="84"/>
    </row>
    <row r="6">
      <c r="A6" s="96"/>
      <c r="B6" s="97" t="s">
        <v>104</v>
      </c>
      <c r="C6" s="97" t="s">
        <v>104</v>
      </c>
      <c r="D6" s="97" t="s">
        <v>104</v>
      </c>
      <c r="E6" s="97" t="s">
        <v>104</v>
      </c>
      <c r="F6" s="97" t="s">
        <v>27</v>
      </c>
      <c r="G6" s="97"/>
      <c r="H6" s="97" t="s">
        <v>27</v>
      </c>
      <c r="I6" s="97" t="s">
        <v>27</v>
      </c>
      <c r="J6" s="98" t="s">
        <v>104</v>
      </c>
      <c r="K6" s="97" t="s">
        <v>105</v>
      </c>
      <c r="L6" s="97" t="s">
        <v>106</v>
      </c>
      <c r="M6" s="98" t="s">
        <v>104</v>
      </c>
      <c r="N6" s="97"/>
      <c r="O6" s="98" t="s">
        <v>104</v>
      </c>
      <c r="P6" s="97" t="s">
        <v>107</v>
      </c>
      <c r="Q6" s="98" t="s">
        <v>104</v>
      </c>
      <c r="R6" s="97" t="s">
        <v>104</v>
      </c>
      <c r="S6" s="98" t="s">
        <v>104</v>
      </c>
      <c r="T6" s="97" t="s">
        <v>27</v>
      </c>
      <c r="U6" s="99" t="s">
        <v>104</v>
      </c>
      <c r="V6" s="97" t="s">
        <v>105</v>
      </c>
      <c r="W6" s="97"/>
      <c r="X6" s="97" t="s">
        <v>106</v>
      </c>
      <c r="Y6" s="99" t="s">
        <v>104</v>
      </c>
      <c r="Z6" s="97" t="s">
        <v>106</v>
      </c>
      <c r="AA6" s="99" t="s">
        <v>104</v>
      </c>
      <c r="AB6" s="97" t="s">
        <v>107</v>
      </c>
      <c r="AC6" s="99" t="s">
        <v>104</v>
      </c>
      <c r="AD6" s="97" t="s">
        <v>107</v>
      </c>
      <c r="AE6" s="100" t="s">
        <v>104</v>
      </c>
      <c r="AF6" s="94"/>
      <c r="AG6" s="84"/>
      <c r="AH6" s="84"/>
      <c r="AI6" s="84"/>
      <c r="AJ6" s="84"/>
      <c r="AK6" s="84"/>
    </row>
    <row r="7">
      <c r="A7" s="101" t="s">
        <v>108</v>
      </c>
      <c r="B7" s="102" t="s">
        <v>13</v>
      </c>
      <c r="C7" s="84" t="s">
        <v>109</v>
      </c>
      <c r="D7" s="103"/>
      <c r="E7" s="104" t="s">
        <v>110</v>
      </c>
      <c r="F7" s="105">
        <f t="shared" ref="F7:F9" si="1">I7+K7+L7+P7*3*365+V7+T7</f>
        <v>7.5485</v>
      </c>
      <c r="G7" s="106" t="s">
        <v>111</v>
      </c>
      <c r="H7" s="107">
        <f t="shared" ref="H7:H19" si="2">I7+K7+L7+P7*3*365+V7+T7+X7+Z7+(AB7+AD7)*3*365</f>
        <v>24.9559155</v>
      </c>
      <c r="I7" s="108"/>
      <c r="J7" s="108"/>
      <c r="K7" s="108"/>
      <c r="L7" s="108"/>
      <c r="M7" s="108"/>
      <c r="N7" s="108"/>
      <c r="O7" s="108"/>
      <c r="P7" s="108"/>
      <c r="Q7" s="108"/>
      <c r="R7" s="108"/>
      <c r="S7" s="109"/>
      <c r="T7" s="108"/>
      <c r="U7" s="84"/>
      <c r="V7" s="110">
        <v>7.5485</v>
      </c>
      <c r="W7" s="111" t="s">
        <v>112</v>
      </c>
      <c r="X7" s="84">
        <f>0.395*12</f>
        <v>4.74</v>
      </c>
      <c r="Y7" s="111" t="s">
        <v>113</v>
      </c>
      <c r="Z7" s="112">
        <v>9.826</v>
      </c>
      <c r="AA7" s="111" t="s">
        <v>114</v>
      </c>
      <c r="AB7" s="84">
        <f>2.5949/1000</f>
        <v>0.0025949</v>
      </c>
      <c r="AC7" s="84"/>
      <c r="AD7" s="84"/>
      <c r="AE7" s="84"/>
      <c r="AF7" s="94"/>
      <c r="AG7" s="84"/>
      <c r="AH7" s="84"/>
      <c r="AI7" s="84"/>
      <c r="AJ7" s="84"/>
      <c r="AK7" s="84"/>
    </row>
    <row r="8">
      <c r="A8" s="101" t="s">
        <v>115</v>
      </c>
      <c r="B8" s="96"/>
      <c r="C8" s="84" t="s">
        <v>116</v>
      </c>
      <c r="D8" s="103"/>
      <c r="E8" s="105"/>
      <c r="F8" s="105">
        <f t="shared" si="1"/>
        <v>13.606</v>
      </c>
      <c r="G8" s="111" t="s">
        <v>117</v>
      </c>
      <c r="H8" s="113">
        <f t="shared" si="2"/>
        <v>40.0999495</v>
      </c>
      <c r="I8" s="108"/>
      <c r="J8" s="108"/>
      <c r="K8" s="108"/>
      <c r="L8" s="108"/>
      <c r="M8" s="108"/>
      <c r="N8" s="108"/>
      <c r="O8" s="108"/>
      <c r="P8" s="108"/>
      <c r="Q8" s="108"/>
      <c r="R8" s="108"/>
      <c r="S8" s="109"/>
      <c r="T8" s="108"/>
      <c r="U8" s="84"/>
      <c r="V8" s="84">
        <v>13.606</v>
      </c>
      <c r="W8" s="111" t="s">
        <v>117</v>
      </c>
      <c r="X8" s="84">
        <f>0.6072*12</f>
        <v>7.2864</v>
      </c>
      <c r="Y8" s="111" t="s">
        <v>117</v>
      </c>
      <c r="Z8" s="84">
        <v>14.88</v>
      </c>
      <c r="AA8" s="114" t="s">
        <v>117</v>
      </c>
      <c r="AB8" s="84">
        <f>3.9521/1000</f>
        <v>0.0039521</v>
      </c>
      <c r="AC8" s="84"/>
      <c r="AD8" s="84"/>
      <c r="AE8" s="84"/>
      <c r="AF8" s="94"/>
      <c r="AG8" s="84"/>
      <c r="AH8" s="84"/>
      <c r="AI8" s="84"/>
      <c r="AJ8" s="84"/>
      <c r="AK8" s="84"/>
    </row>
    <row r="9">
      <c r="A9" s="115" t="s">
        <v>118</v>
      </c>
      <c r="B9" s="116"/>
      <c r="C9" s="117" t="s">
        <v>119</v>
      </c>
      <c r="D9" s="118"/>
      <c r="E9" s="119"/>
      <c r="F9" s="119">
        <f t="shared" si="1"/>
        <v>25.1504</v>
      </c>
      <c r="G9" s="120" t="s">
        <v>117</v>
      </c>
      <c r="H9" s="121">
        <f t="shared" si="2"/>
        <v>62.3800555</v>
      </c>
      <c r="I9" s="122"/>
      <c r="J9" s="122"/>
      <c r="K9" s="122"/>
      <c r="L9" s="122"/>
      <c r="M9" s="122"/>
      <c r="N9" s="122"/>
      <c r="O9" s="122"/>
      <c r="P9" s="122"/>
      <c r="Q9" s="122"/>
      <c r="R9" s="122"/>
      <c r="S9" s="123"/>
      <c r="T9" s="122"/>
      <c r="U9" s="124"/>
      <c r="V9" s="124">
        <v>25.1504</v>
      </c>
      <c r="W9" s="125" t="s">
        <v>117</v>
      </c>
      <c r="X9" s="124">
        <f>0.8237*12</f>
        <v>9.8844</v>
      </c>
      <c r="Y9" s="125" t="s">
        <v>117</v>
      </c>
      <c r="Z9" s="124">
        <v>19.9574</v>
      </c>
      <c r="AA9" s="126" t="s">
        <v>117</v>
      </c>
      <c r="AB9" s="124">
        <f>6.7469/1000</f>
        <v>0.0067469</v>
      </c>
      <c r="AC9" s="124"/>
      <c r="AD9" s="124"/>
      <c r="AE9" s="124"/>
      <c r="AF9" s="94"/>
      <c r="AG9" s="84"/>
      <c r="AH9" s="84"/>
      <c r="AI9" s="84"/>
      <c r="AJ9" s="84"/>
      <c r="AK9" s="84"/>
    </row>
    <row r="10">
      <c r="A10" s="101" t="s">
        <v>120</v>
      </c>
      <c r="B10" s="102" t="s">
        <v>67</v>
      </c>
      <c r="C10" s="84" t="s">
        <v>121</v>
      </c>
      <c r="D10" s="103" t="s">
        <v>122</v>
      </c>
      <c r="E10" s="127" t="s">
        <v>123</v>
      </c>
      <c r="F10" s="105">
        <f t="shared" ref="F10:F13" si="3">I10+K10+L10+P10*3*365+V10*0.2+T10+X10*0.2+Z10</f>
        <v>16.84932436</v>
      </c>
      <c r="G10" s="128" t="s">
        <v>124</v>
      </c>
      <c r="H10" s="129">
        <f t="shared" si="2"/>
        <v>76.3978948</v>
      </c>
      <c r="I10" s="130">
        <v>0.05765</v>
      </c>
      <c r="J10" s="131" t="s">
        <v>125</v>
      </c>
      <c r="K10" s="108"/>
      <c r="L10" s="108"/>
      <c r="M10" s="108"/>
      <c r="N10" s="108"/>
      <c r="O10" s="108"/>
      <c r="P10" s="132">
        <v>0.001751</v>
      </c>
      <c r="Q10" s="108"/>
      <c r="R10" s="108"/>
      <c r="S10" s="109"/>
      <c r="T10" s="133">
        <v>0.05765</v>
      </c>
      <c r="U10" s="114" t="s">
        <v>125</v>
      </c>
      <c r="V10" s="134">
        <v>30.9004704</v>
      </c>
      <c r="W10" s="110"/>
      <c r="X10" s="135">
        <v>43.1829264</v>
      </c>
      <c r="Y10" s="84"/>
      <c r="Z10" s="84"/>
      <c r="AA10" s="84"/>
      <c r="AB10" s="136">
        <f>0.0002386+0.0000188</f>
        <v>0.0002574</v>
      </c>
      <c r="AC10" s="111" t="s">
        <v>126</v>
      </c>
      <c r="AD10" s="84"/>
      <c r="AE10" s="111" t="s">
        <v>127</v>
      </c>
      <c r="AF10" s="94"/>
      <c r="AG10" s="84"/>
      <c r="AH10" s="84"/>
      <c r="AI10" s="84"/>
      <c r="AJ10" s="84"/>
      <c r="AK10" s="84"/>
    </row>
    <row r="11">
      <c r="A11" s="101" t="s">
        <v>128</v>
      </c>
      <c r="B11" s="96"/>
      <c r="C11" s="84"/>
      <c r="D11" s="103" t="s">
        <v>129</v>
      </c>
      <c r="E11" s="137"/>
      <c r="F11" s="105">
        <f t="shared" si="3"/>
        <v>9.362562092</v>
      </c>
      <c r="G11" s="128" t="s">
        <v>130</v>
      </c>
      <c r="H11" s="138">
        <f t="shared" si="2"/>
        <v>42.73955007</v>
      </c>
      <c r="I11" s="130">
        <v>0.05765</v>
      </c>
      <c r="J11" s="131" t="s">
        <v>125</v>
      </c>
      <c r="K11" s="108"/>
      <c r="L11" s="108"/>
      <c r="M11" s="108"/>
      <c r="N11" s="108"/>
      <c r="O11" s="108"/>
      <c r="P11" s="132">
        <v>0.001751</v>
      </c>
      <c r="Q11" s="108"/>
      <c r="R11" s="108"/>
      <c r="S11" s="109"/>
      <c r="T11" s="133">
        <f>57.6459724/1000</f>
        <v>0.0576459724</v>
      </c>
      <c r="U11" s="114" t="s">
        <v>125</v>
      </c>
      <c r="V11" s="134">
        <v>14.6849424</v>
      </c>
      <c r="W11" s="110"/>
      <c r="X11" s="135">
        <v>21.9646632</v>
      </c>
      <c r="Y11" s="84"/>
      <c r="Z11" s="84"/>
      <c r="AA11" s="84"/>
      <c r="AB11" s="136">
        <f>0.0035086+0.0001967</f>
        <v>0.0037053</v>
      </c>
      <c r="AC11" s="111" t="s">
        <v>117</v>
      </c>
      <c r="AD11" s="84"/>
      <c r="AE11" s="114" t="s">
        <v>117</v>
      </c>
      <c r="AF11" s="94"/>
      <c r="AG11" s="84"/>
      <c r="AH11" s="84"/>
      <c r="AI11" s="84"/>
      <c r="AJ11" s="84"/>
      <c r="AK11" s="84"/>
    </row>
    <row r="12">
      <c r="A12" s="101" t="s">
        <v>131</v>
      </c>
      <c r="B12" s="96"/>
      <c r="C12" s="84" t="s">
        <v>132</v>
      </c>
      <c r="D12" s="103" t="s">
        <v>122</v>
      </c>
      <c r="E12" s="105"/>
      <c r="F12" s="105">
        <f t="shared" si="3"/>
        <v>16.84932436</v>
      </c>
      <c r="G12" s="139" t="s">
        <v>117</v>
      </c>
      <c r="H12" s="129">
        <f t="shared" si="2"/>
        <v>76.3978948</v>
      </c>
      <c r="I12" s="130">
        <v>0.05765</v>
      </c>
      <c r="J12" s="131" t="s">
        <v>125</v>
      </c>
      <c r="K12" s="108"/>
      <c r="L12" s="108"/>
      <c r="M12" s="108"/>
      <c r="N12" s="108"/>
      <c r="O12" s="108"/>
      <c r="P12" s="132">
        <v>0.001751</v>
      </c>
      <c r="Q12" s="108"/>
      <c r="R12" s="108"/>
      <c r="S12" s="109"/>
      <c r="T12" s="133">
        <v>0.05765</v>
      </c>
      <c r="U12" s="114" t="s">
        <v>125</v>
      </c>
      <c r="V12" s="134">
        <v>30.9004704</v>
      </c>
      <c r="W12" s="110"/>
      <c r="X12" s="135">
        <v>43.1829264</v>
      </c>
      <c r="Y12" s="84"/>
      <c r="Z12" s="84"/>
      <c r="AA12" s="84"/>
      <c r="AB12" s="136">
        <f>0.0002386+0.0000188</f>
        <v>0.0002574</v>
      </c>
      <c r="AC12" s="111" t="s">
        <v>117</v>
      </c>
      <c r="AD12" s="84"/>
      <c r="AE12" s="114" t="s">
        <v>117</v>
      </c>
      <c r="AF12" s="94"/>
      <c r="AG12" s="84"/>
      <c r="AH12" s="84"/>
      <c r="AI12" s="84"/>
      <c r="AJ12" s="84"/>
      <c r="AK12" s="84"/>
    </row>
    <row r="13">
      <c r="A13" s="115" t="s">
        <v>133</v>
      </c>
      <c r="B13" s="116"/>
      <c r="C13" s="124"/>
      <c r="D13" s="118" t="s">
        <v>129</v>
      </c>
      <c r="E13" s="119"/>
      <c r="F13" s="119">
        <f t="shared" si="3"/>
        <v>19.1590246</v>
      </c>
      <c r="G13" s="140" t="s">
        <v>117</v>
      </c>
      <c r="H13" s="141">
        <f t="shared" si="2"/>
        <v>91.8125125</v>
      </c>
      <c r="I13" s="142">
        <v>0.05765</v>
      </c>
      <c r="J13" s="143" t="s">
        <v>125</v>
      </c>
      <c r="K13" s="122"/>
      <c r="L13" s="122"/>
      <c r="M13" s="122"/>
      <c r="N13" s="122"/>
      <c r="O13" s="122"/>
      <c r="P13" s="144">
        <v>0.001751</v>
      </c>
      <c r="Q13" s="122"/>
      <c r="R13" s="122"/>
      <c r="S13" s="123"/>
      <c r="T13" s="145">
        <v>0.05765</v>
      </c>
      <c r="U13" s="126" t="s">
        <v>125</v>
      </c>
      <c r="V13" s="146">
        <v>35.1788388</v>
      </c>
      <c r="W13" s="147"/>
      <c r="X13" s="148">
        <v>50.4530592</v>
      </c>
      <c r="Y13" s="124"/>
      <c r="Z13" s="124"/>
      <c r="AA13" s="124"/>
      <c r="AB13" s="149">
        <f>0.003587+0.0002011</f>
        <v>0.0037881</v>
      </c>
      <c r="AC13" s="125" t="s">
        <v>117</v>
      </c>
      <c r="AD13" s="124"/>
      <c r="AE13" s="126" t="s">
        <v>117</v>
      </c>
      <c r="AF13" s="94"/>
      <c r="AG13" s="84"/>
      <c r="AH13" s="84"/>
      <c r="AI13" s="84"/>
      <c r="AJ13" s="84"/>
      <c r="AK13" s="84"/>
    </row>
    <row r="14">
      <c r="A14" s="101" t="s">
        <v>134</v>
      </c>
      <c r="B14" s="102" t="s">
        <v>76</v>
      </c>
      <c r="C14" s="84" t="s">
        <v>135</v>
      </c>
      <c r="D14" s="103" t="s">
        <v>136</v>
      </c>
      <c r="E14" s="127" t="s">
        <v>137</v>
      </c>
      <c r="F14" s="105">
        <f t="shared" ref="F14:F15" si="4">I14+K14+L14+P14*3*365+V14+T14+X14+Z14+(AB14+AD14)*3*365</f>
        <v>86.5918429</v>
      </c>
      <c r="G14" s="105"/>
      <c r="H14" s="150">
        <f t="shared" si="2"/>
        <v>86.5918429</v>
      </c>
      <c r="I14" s="108"/>
      <c r="J14" s="108"/>
      <c r="K14" s="108"/>
      <c r="L14" s="108"/>
      <c r="M14" s="108"/>
      <c r="N14" s="108"/>
      <c r="O14" s="108"/>
      <c r="P14" s="108"/>
      <c r="Q14" s="108"/>
      <c r="R14" s="108"/>
      <c r="S14" s="109"/>
      <c r="T14" s="151">
        <f t="shared" ref="T14:T15" si="5">543.11/1000</f>
        <v>0.54311</v>
      </c>
      <c r="U14" s="84"/>
      <c r="V14" s="84"/>
      <c r="W14" s="84"/>
      <c r="X14" s="84">
        <f>59.98*E3</f>
        <v>48.2067374</v>
      </c>
      <c r="Y14" s="152" t="s">
        <v>138</v>
      </c>
      <c r="Z14" s="84"/>
      <c r="AA14" s="111"/>
      <c r="AB14" s="84">
        <f t="shared" ref="AB14:AB15" si="6">AVERAGE(0.0047539,0.0028523)</f>
        <v>0.0038031</v>
      </c>
      <c r="AC14" s="152" t="s">
        <v>139</v>
      </c>
      <c r="AD14" s="84">
        <f t="shared" ref="AD14:AD15" si="7"> 0.0002504+0.0043665+0.0013085+0.0033901+0.0214403</f>
        <v>0.0307558</v>
      </c>
      <c r="AE14" s="111" t="s">
        <v>140</v>
      </c>
      <c r="AF14" s="94"/>
      <c r="AG14" s="84"/>
      <c r="AH14" s="84"/>
      <c r="AI14" s="84"/>
      <c r="AJ14" s="84"/>
      <c r="AK14" s="84"/>
    </row>
    <row r="15">
      <c r="A15" s="115"/>
      <c r="B15" s="116"/>
      <c r="C15" s="124"/>
      <c r="D15" s="118" t="s">
        <v>141</v>
      </c>
      <c r="E15" s="153"/>
      <c r="F15" s="119">
        <f t="shared" si="4"/>
        <v>62.4884742</v>
      </c>
      <c r="G15" s="119"/>
      <c r="H15" s="154">
        <f t="shared" si="2"/>
        <v>62.4884742</v>
      </c>
      <c r="I15" s="122"/>
      <c r="J15" s="122"/>
      <c r="K15" s="122"/>
      <c r="L15" s="122"/>
      <c r="M15" s="122"/>
      <c r="N15" s="122"/>
      <c r="O15" s="122"/>
      <c r="P15" s="122"/>
      <c r="Q15" s="122"/>
      <c r="R15" s="122"/>
      <c r="S15" s="123"/>
      <c r="T15" s="155">
        <f t="shared" si="5"/>
        <v>0.54311</v>
      </c>
      <c r="U15" s="124"/>
      <c r="V15" s="124"/>
      <c r="W15" s="124"/>
      <c r="X15" s="124">
        <f>29.99*E3</f>
        <v>24.1033687</v>
      </c>
      <c r="Y15" s="156" t="s">
        <v>138</v>
      </c>
      <c r="Z15" s="124"/>
      <c r="AA15" s="125"/>
      <c r="AB15" s="124">
        <f t="shared" si="6"/>
        <v>0.0038031</v>
      </c>
      <c r="AC15" s="156" t="s">
        <v>139</v>
      </c>
      <c r="AD15" s="124">
        <f t="shared" si="7"/>
        <v>0.0307558</v>
      </c>
      <c r="AE15" s="125" t="s">
        <v>140</v>
      </c>
      <c r="AF15" s="94"/>
      <c r="AG15" s="84"/>
      <c r="AH15" s="84"/>
      <c r="AI15" s="84"/>
      <c r="AJ15" s="84"/>
      <c r="AK15" s="84"/>
    </row>
    <row r="16">
      <c r="A16" s="101" t="s">
        <v>142</v>
      </c>
      <c r="B16" s="102" t="s">
        <v>69</v>
      </c>
      <c r="C16" s="84" t="s">
        <v>143</v>
      </c>
      <c r="D16" s="103" t="s">
        <v>144</v>
      </c>
      <c r="E16" s="127" t="s">
        <v>145</v>
      </c>
      <c r="F16" s="105">
        <f t="shared" ref="F16:F17" si="8">T16+X16+Z16+(AB16+AD16)*3*365</f>
        <v>10.30150437</v>
      </c>
      <c r="G16" s="157" t="s">
        <v>146</v>
      </c>
      <c r="H16" s="158">
        <f t="shared" si="2"/>
        <v>11.65005127</v>
      </c>
      <c r="I16" s="151">
        <f>877.58/1000</f>
        <v>0.87758</v>
      </c>
      <c r="J16" s="108"/>
      <c r="K16" s="130">
        <v>0.4709669</v>
      </c>
      <c r="L16" s="108"/>
      <c r="M16" s="108"/>
      <c r="N16" s="108"/>
      <c r="O16" s="108"/>
      <c r="P16" s="108"/>
      <c r="Q16" s="108"/>
      <c r="R16" s="108"/>
      <c r="S16" s="109"/>
      <c r="T16" s="151">
        <f>906.55/1000</f>
        <v>0.90655</v>
      </c>
      <c r="U16" s="111" t="s">
        <v>147</v>
      </c>
      <c r="V16" s="84"/>
      <c r="W16" s="84"/>
      <c r="X16" s="84">
        <f>0.4883477*12*(2/3)</f>
        <v>3.9067816</v>
      </c>
      <c r="Y16" s="159" t="s">
        <v>148</v>
      </c>
      <c r="Z16" s="84">
        <f>0.2441738*(1/3)</f>
        <v>0.08139126667</v>
      </c>
      <c r="AA16" s="159" t="s">
        <v>149</v>
      </c>
      <c r="AB16" s="84">
        <f>AVERAGE(0.00056,0.000224)</f>
        <v>0.000392</v>
      </c>
      <c r="AC16" s="152" t="s">
        <v>150</v>
      </c>
      <c r="AD16" s="84">
        <f>0.0009193+0.0032333+0.0001469+0+0.0002462</f>
        <v>0.0045457</v>
      </c>
      <c r="AE16" s="111" t="s">
        <v>151</v>
      </c>
      <c r="AF16" s="94"/>
      <c r="AG16" s="84"/>
      <c r="AH16" s="84"/>
      <c r="AI16" s="84"/>
      <c r="AJ16" s="84"/>
      <c r="AK16" s="84"/>
    </row>
    <row r="17">
      <c r="A17" s="115" t="s">
        <v>152</v>
      </c>
      <c r="B17" s="116"/>
      <c r="C17" s="124"/>
      <c r="D17" s="118" t="s">
        <v>153</v>
      </c>
      <c r="E17" s="160"/>
      <c r="F17" s="119">
        <f t="shared" si="8"/>
        <v>46.4516636</v>
      </c>
      <c r="G17" s="161" t="s">
        <v>154</v>
      </c>
      <c r="H17" s="162">
        <f t="shared" si="2"/>
        <v>47.1607928</v>
      </c>
      <c r="I17" s="155">
        <f>665.23/1000</f>
        <v>0.66523</v>
      </c>
      <c r="J17" s="122"/>
      <c r="K17" s="142">
        <v>0.0438992</v>
      </c>
      <c r="L17" s="122"/>
      <c r="M17" s="122"/>
      <c r="N17" s="122"/>
      <c r="O17" s="122"/>
      <c r="P17" s="122"/>
      <c r="Q17" s="122"/>
      <c r="R17" s="122"/>
      <c r="S17" s="123"/>
      <c r="T17" s="155">
        <f>796.43/1000</f>
        <v>0.79643</v>
      </c>
      <c r="U17" s="125" t="s">
        <v>117</v>
      </c>
      <c r="V17" s="124"/>
      <c r="W17" s="124"/>
      <c r="X17" s="124">
        <f>3.8666833*12*(2/3)</f>
        <v>30.9334664</v>
      </c>
      <c r="Y17" s="125" t="s">
        <v>117</v>
      </c>
      <c r="Z17" s="124">
        <f>1.9333416*(1/3)</f>
        <v>0.6444472</v>
      </c>
      <c r="AA17" s="125" t="s">
        <v>117</v>
      </c>
      <c r="AB17" s="124">
        <f>AVERAGE(0.0071277,0.0028511)</f>
        <v>0.0049894</v>
      </c>
      <c r="AC17" s="156" t="s">
        <v>155</v>
      </c>
      <c r="AD17" s="124">
        <f>0.0009193+0.0032333+0.0013882+0+0.0023258</f>
        <v>0.0078666</v>
      </c>
      <c r="AE17" s="125" t="s">
        <v>117</v>
      </c>
      <c r="AF17" s="94"/>
      <c r="AG17" s="84"/>
      <c r="AH17" s="84"/>
      <c r="AI17" s="84"/>
      <c r="AJ17" s="84"/>
      <c r="AK17" s="84"/>
    </row>
    <row r="18">
      <c r="A18" s="101" t="s">
        <v>156</v>
      </c>
      <c r="B18" s="102" t="s">
        <v>72</v>
      </c>
      <c r="C18" s="84" t="s">
        <v>143</v>
      </c>
      <c r="D18" s="163" t="s">
        <v>144</v>
      </c>
      <c r="E18" s="164" t="s">
        <v>145</v>
      </c>
      <c r="F18" s="105">
        <f t="shared" ref="F18:F19" si="9">T18+X18+Z18+(AB18+AD18)*3*365*0.15</f>
        <v>4.874682167</v>
      </c>
      <c r="G18" s="157" t="s">
        <v>157</v>
      </c>
      <c r="H18" s="165">
        <f t="shared" si="2"/>
        <v>11.01286857</v>
      </c>
      <c r="I18" s="151">
        <f>877.58/1000</f>
        <v>0.87758</v>
      </c>
      <c r="J18" s="108"/>
      <c r="K18" s="130">
        <v>0.4709669</v>
      </c>
      <c r="L18" s="108"/>
      <c r="M18" s="108"/>
      <c r="N18" s="108"/>
      <c r="O18" s="108"/>
      <c r="P18" s="108"/>
      <c r="Q18" s="108"/>
      <c r="R18" s="108"/>
      <c r="S18" s="109"/>
      <c r="T18" s="151">
        <f>875.69/1000</f>
        <v>0.87569</v>
      </c>
      <c r="U18" s="84"/>
      <c r="V18" s="84"/>
      <c r="W18" s="84"/>
      <c r="X18" s="84">
        <f>0.3861749*12*(2/3)</f>
        <v>3.0893992</v>
      </c>
      <c r="Y18" s="159" t="s">
        <v>158</v>
      </c>
      <c r="Z18" s="84">
        <f>0.1930874*(1/3)</f>
        <v>0.06436246667</v>
      </c>
      <c r="AA18" s="159" t="s">
        <v>159</v>
      </c>
      <c r="AB18" s="84">
        <f>AVERAGE(0.0001695,0.0000881)</f>
        <v>0.0001288</v>
      </c>
      <c r="AC18" s="152" t="s">
        <v>160</v>
      </c>
      <c r="AD18" s="84">
        <f>0.0010523+0.0034069+0.0003103+0.0000353+0.0002124</f>
        <v>0.0050172</v>
      </c>
      <c r="AE18" s="111" t="s">
        <v>151</v>
      </c>
      <c r="AF18" s="94"/>
      <c r="AG18" s="84"/>
      <c r="AH18" s="84"/>
      <c r="AI18" s="84"/>
      <c r="AJ18" s="84"/>
      <c r="AK18" s="84"/>
    </row>
    <row r="19">
      <c r="A19" s="115" t="s">
        <v>161</v>
      </c>
      <c r="B19" s="116"/>
      <c r="C19" s="124"/>
      <c r="D19" s="166" t="s">
        <v>153</v>
      </c>
      <c r="E19" s="167"/>
      <c r="F19" s="168">
        <f t="shared" si="9"/>
        <v>25.53039028</v>
      </c>
      <c r="G19" s="169" t="s">
        <v>162</v>
      </c>
      <c r="H19" s="170">
        <f t="shared" si="2"/>
        <v>37.98204763</v>
      </c>
      <c r="I19" s="155">
        <f>665.23/1000</f>
        <v>0.66523</v>
      </c>
      <c r="J19" s="122"/>
      <c r="K19" s="142">
        <v>0.0438992</v>
      </c>
      <c r="L19" s="122"/>
      <c r="M19" s="122"/>
      <c r="N19" s="122"/>
      <c r="O19" s="122"/>
      <c r="P19" s="122"/>
      <c r="Q19" s="122"/>
      <c r="R19" s="122"/>
      <c r="S19" s="123"/>
      <c r="T19" s="155">
        <f>637.34/1000</f>
        <v>0.63734</v>
      </c>
      <c r="U19" s="124"/>
      <c r="V19" s="124"/>
      <c r="W19" s="124"/>
      <c r="X19" s="124">
        <f>2.7943885*12*(2/3)</f>
        <v>22.355108</v>
      </c>
      <c r="Y19" s="125" t="s">
        <v>117</v>
      </c>
      <c r="Z19" s="124">
        <f>1.3971943*(1/3)</f>
        <v>0.4657314333</v>
      </c>
      <c r="AA19" s="171" t="s">
        <v>117</v>
      </c>
      <c r="AB19" s="124">
        <f>AVERAGE(0.0051818,0.002882)</f>
        <v>0.0040319</v>
      </c>
      <c r="AC19" s="156" t="s">
        <v>160</v>
      </c>
      <c r="AD19" s="124">
        <f>0.0010738+0.0034069+0.001202+0.000036+0.0028656</f>
        <v>0.0085843</v>
      </c>
      <c r="AE19" s="125" t="s">
        <v>117</v>
      </c>
      <c r="AF19" s="94"/>
      <c r="AG19" s="84"/>
      <c r="AH19" s="84"/>
      <c r="AI19" s="84"/>
      <c r="AJ19" s="84"/>
      <c r="AK19" s="84"/>
    </row>
    <row r="20">
      <c r="A20" s="84"/>
      <c r="B20" s="84"/>
      <c r="C20" s="84"/>
      <c r="D20" s="84"/>
      <c r="E20" s="84"/>
      <c r="F20" s="84"/>
      <c r="G20" s="84"/>
      <c r="H20" s="84"/>
      <c r="I20" s="108"/>
      <c r="J20" s="108"/>
      <c r="K20" s="108"/>
      <c r="L20" s="108"/>
      <c r="M20" s="108"/>
      <c r="N20" s="108"/>
      <c r="O20" s="108"/>
      <c r="P20" s="108"/>
      <c r="Q20" s="108"/>
      <c r="R20" s="108"/>
      <c r="S20" s="108"/>
      <c r="T20" s="108"/>
      <c r="U20" s="84"/>
      <c r="V20" s="84"/>
      <c r="W20" s="84"/>
      <c r="X20" s="84"/>
      <c r="Y20" s="84"/>
      <c r="Z20" s="84"/>
      <c r="AA20" s="84"/>
      <c r="AB20" s="84"/>
      <c r="AC20" s="84"/>
      <c r="AD20" s="84"/>
      <c r="AE20" s="84"/>
      <c r="AF20" s="84"/>
      <c r="AG20" s="84"/>
      <c r="AH20" s="84"/>
      <c r="AI20" s="84"/>
      <c r="AJ20" s="84"/>
      <c r="AK20" s="84"/>
    </row>
    <row r="21">
      <c r="A21" s="84"/>
      <c r="B21" s="84"/>
      <c r="C21" s="84"/>
      <c r="D21" s="84"/>
      <c r="E21" s="84"/>
      <c r="F21" s="84"/>
      <c r="G21" s="84"/>
      <c r="H21" s="84"/>
      <c r="I21" s="108"/>
      <c r="J21" s="108"/>
      <c r="K21" s="108"/>
      <c r="L21" s="108"/>
      <c r="M21" s="108"/>
      <c r="N21" s="108"/>
      <c r="O21" s="108"/>
      <c r="P21" s="108"/>
      <c r="Q21" s="108"/>
      <c r="R21" s="108"/>
      <c r="S21" s="108"/>
      <c r="T21" s="108"/>
      <c r="U21" s="84"/>
      <c r="V21" s="84"/>
      <c r="W21" s="84"/>
      <c r="X21" s="84"/>
      <c r="Y21" s="84"/>
      <c r="Z21" s="84"/>
      <c r="AA21" s="84"/>
      <c r="AB21" s="84"/>
      <c r="AC21" s="84"/>
      <c r="AD21" s="84"/>
      <c r="AE21" s="84"/>
      <c r="AF21" s="84"/>
      <c r="AG21" s="84"/>
      <c r="AH21" s="84"/>
      <c r="AI21" s="84"/>
      <c r="AJ21" s="84"/>
      <c r="AK21" s="84"/>
    </row>
    <row r="22">
      <c r="A22" s="84"/>
      <c r="B22" s="84"/>
      <c r="C22" s="84"/>
      <c r="D22" s="84"/>
      <c r="E22" s="84"/>
      <c r="F22" s="84"/>
      <c r="G22" s="84"/>
      <c r="H22" s="84"/>
      <c r="I22" s="108"/>
      <c r="J22" s="108"/>
      <c r="K22" s="108"/>
      <c r="L22" s="108"/>
      <c r="M22" s="108"/>
      <c r="N22" s="108"/>
      <c r="O22" s="108"/>
      <c r="P22" s="108"/>
      <c r="Q22" s="108"/>
      <c r="R22" s="108"/>
      <c r="S22" s="108"/>
      <c r="T22" s="108"/>
      <c r="U22" s="84"/>
      <c r="V22" s="84"/>
      <c r="W22" s="84"/>
      <c r="X22" s="84"/>
      <c r="Y22" s="84"/>
      <c r="Z22" s="84"/>
      <c r="AA22" s="84"/>
      <c r="AB22" s="84"/>
      <c r="AC22" s="84"/>
      <c r="AD22" s="84"/>
      <c r="AE22" s="84"/>
      <c r="AF22" s="84"/>
      <c r="AG22" s="84"/>
      <c r="AH22" s="84"/>
      <c r="AI22" s="84"/>
      <c r="AJ22" s="84"/>
      <c r="AK22" s="84"/>
    </row>
    <row r="23">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row>
    <row r="24">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row>
    <row r="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row>
    <row r="26">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row>
    <row r="27">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row>
    <row r="28">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row>
    <row r="29">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row>
    <row r="3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row>
    <row r="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row>
    <row r="3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row>
    <row r="34">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row>
    <row r="3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row>
    <row r="36">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row>
    <row r="3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row>
    <row r="38">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row>
    <row r="39">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row>
    <row r="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row>
    <row r="4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row>
    <row r="4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row>
    <row r="4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row>
    <row r="44">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row>
    <row r="46">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row>
    <row r="4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row>
    <row r="48">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row>
    <row r="49">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row>
    <row r="5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c r="AK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c r="AK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c r="AK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c r="AI225" s="84"/>
      <c r="AJ225" s="84"/>
      <c r="AK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c r="AI226" s="84"/>
      <c r="AJ226" s="84"/>
      <c r="AK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c r="AK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c r="AK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84"/>
      <c r="AJ235" s="84"/>
      <c r="AK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c r="AK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84"/>
      <c r="AJ237" s="84"/>
      <c r="AK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c r="AK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c r="AK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c r="AI242" s="84"/>
      <c r="AJ242" s="84"/>
      <c r="AK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c r="AI243" s="84"/>
      <c r="AJ243" s="84"/>
      <c r="AK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4"/>
      <c r="AJ251" s="84"/>
      <c r="AK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c r="AI253" s="84"/>
      <c r="AJ253" s="84"/>
      <c r="AK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c r="AK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84"/>
      <c r="AJ257" s="84"/>
      <c r="AK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c r="AK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c r="AK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c r="AI260" s="84"/>
      <c r="AJ260" s="84"/>
      <c r="AK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c r="AK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c r="AI263" s="84"/>
      <c r="AJ263" s="84"/>
      <c r="AK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c r="AK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c r="AI266" s="84"/>
      <c r="AJ266" s="84"/>
      <c r="AK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c r="AK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c r="AI271" s="84"/>
      <c r="AJ271" s="84"/>
      <c r="AK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c r="AK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c r="AI273" s="84"/>
      <c r="AJ273" s="84"/>
      <c r="AK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c r="AK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c r="AI276" s="84"/>
      <c r="AJ276" s="84"/>
      <c r="AK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c r="AI278" s="84"/>
      <c r="AJ278" s="84"/>
      <c r="AK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c r="AI279" s="84"/>
      <c r="AJ279" s="84"/>
      <c r="AK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c r="AK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c r="AI281" s="84"/>
      <c r="AJ281" s="84"/>
      <c r="AK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c r="AI289" s="84"/>
      <c r="AJ289" s="84"/>
      <c r="AK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c r="AI290" s="84"/>
      <c r="AJ290" s="84"/>
      <c r="AK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c r="AI291" s="84"/>
      <c r="AJ291" s="84"/>
      <c r="AK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c r="AI292" s="84"/>
      <c r="AJ292" s="84"/>
      <c r="AK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c r="AI293" s="84"/>
      <c r="AJ293" s="84"/>
      <c r="AK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c r="AK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c r="AI295" s="84"/>
      <c r="AJ295" s="84"/>
      <c r="AK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c r="AK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c r="AI298" s="84"/>
      <c r="AJ298" s="84"/>
      <c r="AK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c r="AH299" s="84"/>
      <c r="AI299" s="84"/>
      <c r="AJ299" s="84"/>
      <c r="AK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c r="AI300" s="84"/>
      <c r="AJ300" s="84"/>
      <c r="AK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c r="AH301" s="84"/>
      <c r="AI301" s="84"/>
      <c r="AJ301" s="84"/>
      <c r="AK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c r="AI302" s="84"/>
      <c r="AJ302" s="84"/>
      <c r="AK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c r="AK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c r="AK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c r="AH305" s="84"/>
      <c r="AI305" s="84"/>
      <c r="AJ305" s="84"/>
      <c r="AK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c r="AH306" s="84"/>
      <c r="AI306" s="84"/>
      <c r="AJ306" s="84"/>
      <c r="AK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c r="AH307" s="84"/>
      <c r="AI307" s="84"/>
      <c r="AJ307" s="84"/>
      <c r="AK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c r="AI308" s="84"/>
      <c r="AJ308" s="84"/>
      <c r="AK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c r="AH309" s="84"/>
      <c r="AI309" s="84"/>
      <c r="AJ309" s="84"/>
      <c r="AK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c r="AH310" s="84"/>
      <c r="AI310" s="84"/>
      <c r="AJ310" s="84"/>
      <c r="AK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c r="AH311" s="84"/>
      <c r="AI311" s="84"/>
      <c r="AJ311" s="84"/>
      <c r="AK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c r="AH313" s="84"/>
      <c r="AI313" s="84"/>
      <c r="AJ313" s="84"/>
      <c r="AK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c r="AH314" s="84"/>
      <c r="AI314" s="84"/>
      <c r="AJ314" s="84"/>
      <c r="AK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c r="AI315" s="84"/>
      <c r="AJ315" s="84"/>
      <c r="AK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c r="AK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c r="AK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c r="AK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c r="AI321" s="84"/>
      <c r="AJ321" s="84"/>
      <c r="AK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c r="AI323" s="84"/>
      <c r="AJ323" s="84"/>
      <c r="AK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c r="AI325" s="84"/>
      <c r="AJ325" s="84"/>
      <c r="AK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c r="AI326" s="84"/>
      <c r="AJ326" s="84"/>
      <c r="AK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c r="AI327" s="84"/>
      <c r="AJ327" s="84"/>
      <c r="AK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c r="AI328" s="84"/>
      <c r="AJ328" s="84"/>
      <c r="AK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c r="AH329" s="84"/>
      <c r="AI329" s="84"/>
      <c r="AJ329" s="84"/>
      <c r="AK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c r="AH330" s="84"/>
      <c r="AI330" s="84"/>
      <c r="AJ330" s="84"/>
      <c r="AK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c r="AI331" s="84"/>
      <c r="AJ331" s="84"/>
      <c r="AK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c r="AI332" s="84"/>
      <c r="AJ332" s="84"/>
      <c r="AK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c r="AH333" s="84"/>
      <c r="AI333" s="84"/>
      <c r="AJ333" s="84"/>
      <c r="AK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c r="AK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c r="AK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c r="AI337" s="84"/>
      <c r="AJ337" s="84"/>
      <c r="AK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c r="AI338" s="84"/>
      <c r="AJ338" s="84"/>
      <c r="AK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c r="AH339" s="84"/>
      <c r="AI339" s="84"/>
      <c r="AJ339" s="84"/>
      <c r="AK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c r="AI340" s="84"/>
      <c r="AJ340" s="84"/>
      <c r="AK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c r="AH341" s="84"/>
      <c r="AI341" s="84"/>
      <c r="AJ341" s="84"/>
      <c r="AK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c r="AH342" s="84"/>
      <c r="AI342" s="84"/>
      <c r="AJ342" s="84"/>
      <c r="AK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c r="AI343" s="84"/>
      <c r="AJ343" s="84"/>
      <c r="AK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c r="AK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c r="AH345" s="84"/>
      <c r="AI345" s="84"/>
      <c r="AJ345" s="84"/>
      <c r="AK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c r="AH346" s="84"/>
      <c r="AI346" s="84"/>
      <c r="AJ346" s="84"/>
      <c r="AK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c r="AH347" s="84"/>
      <c r="AI347" s="84"/>
      <c r="AJ347" s="84"/>
      <c r="AK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c r="AK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c r="AI350" s="84"/>
      <c r="AJ350" s="84"/>
      <c r="AK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c r="AI351" s="84"/>
      <c r="AJ351" s="84"/>
      <c r="AK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c r="AI352" s="84"/>
      <c r="AJ352" s="84"/>
      <c r="AK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c r="AI353" s="84"/>
      <c r="AJ353" s="84"/>
      <c r="AK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c r="AI354" s="84"/>
      <c r="AJ354" s="84"/>
      <c r="AK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c r="AI355" s="84"/>
      <c r="AJ355" s="84"/>
      <c r="AK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c r="AI356" s="84"/>
      <c r="AJ356" s="84"/>
      <c r="AK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c r="AI357" s="84"/>
      <c r="AJ357" s="84"/>
      <c r="AK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c r="AI358" s="84"/>
      <c r="AJ358" s="84"/>
      <c r="AK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c r="AI359" s="84"/>
      <c r="AJ359" s="84"/>
      <c r="AK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c r="AK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c r="AI361" s="84"/>
      <c r="AJ361" s="84"/>
      <c r="AK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c r="AI362" s="84"/>
      <c r="AJ362" s="84"/>
      <c r="AK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c r="AI363" s="84"/>
      <c r="AJ363" s="84"/>
      <c r="AK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c r="AI364" s="84"/>
      <c r="AJ364" s="84"/>
      <c r="AK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c r="AI365" s="84"/>
      <c r="AJ365" s="84"/>
      <c r="AK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c r="AK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c r="AI367" s="84"/>
      <c r="AJ367" s="84"/>
      <c r="AK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c r="AI368" s="84"/>
      <c r="AJ368" s="84"/>
      <c r="AK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c r="AI369" s="84"/>
      <c r="AJ369" s="84"/>
      <c r="AK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c r="AI370" s="84"/>
      <c r="AJ370" s="84"/>
      <c r="AK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c r="AI371" s="84"/>
      <c r="AJ371" s="84"/>
      <c r="AK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c r="AK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c r="AK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4"/>
      <c r="AK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c r="AI375" s="84"/>
      <c r="AJ375" s="84"/>
      <c r="AK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c r="AI376" s="84"/>
      <c r="AJ376" s="84"/>
      <c r="AK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c r="AH377" s="84"/>
      <c r="AI377" s="84"/>
      <c r="AJ377" s="84"/>
      <c r="AK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c r="AH378" s="84"/>
      <c r="AI378" s="84"/>
      <c r="AJ378" s="84"/>
      <c r="AK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c r="AH379" s="84"/>
      <c r="AI379" s="84"/>
      <c r="AJ379" s="84"/>
      <c r="AK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c r="AI380" s="84"/>
      <c r="AJ380" s="84"/>
      <c r="AK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c r="AH381" s="84"/>
      <c r="AI381" s="84"/>
      <c r="AJ381" s="84"/>
      <c r="AK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c r="AH382" s="84"/>
      <c r="AI382" s="84"/>
      <c r="AJ382" s="84"/>
      <c r="AK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c r="AI383" s="84"/>
      <c r="AJ383" s="84"/>
      <c r="AK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c r="AK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c r="AH385" s="84"/>
      <c r="AI385" s="84"/>
      <c r="AJ385" s="84"/>
      <c r="AK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c r="AH386" s="84"/>
      <c r="AI386" s="84"/>
      <c r="AJ386" s="84"/>
      <c r="AK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c r="AH387" s="84"/>
      <c r="AI387" s="84"/>
      <c r="AJ387" s="84"/>
      <c r="AK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c r="AH388" s="84"/>
      <c r="AI388" s="84"/>
      <c r="AJ388" s="84"/>
      <c r="AK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c r="AH389" s="84"/>
      <c r="AI389" s="84"/>
      <c r="AJ389" s="84"/>
      <c r="AK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c r="AI390" s="84"/>
      <c r="AJ390" s="84"/>
      <c r="AK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c r="AH391" s="84"/>
      <c r="AI391" s="84"/>
      <c r="AJ391" s="84"/>
      <c r="AK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c r="AI392" s="84"/>
      <c r="AJ392" s="84"/>
      <c r="AK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c r="AH393" s="84"/>
      <c r="AI393" s="84"/>
      <c r="AJ393" s="84"/>
      <c r="AK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c r="AH394" s="84"/>
      <c r="AI394" s="84"/>
      <c r="AJ394" s="84"/>
      <c r="AK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c r="AH395" s="84"/>
      <c r="AI395" s="84"/>
      <c r="AJ395" s="84"/>
      <c r="AK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c r="AI396" s="84"/>
      <c r="AJ396" s="84"/>
      <c r="AK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c r="AK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c r="AH398" s="84"/>
      <c r="AI398" s="84"/>
      <c r="AJ398" s="84"/>
      <c r="AK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c r="AH399" s="84"/>
      <c r="AI399" s="84"/>
      <c r="AJ399" s="84"/>
      <c r="AK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c r="AK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c r="AH401" s="84"/>
      <c r="AI401" s="84"/>
      <c r="AJ401" s="84"/>
      <c r="AK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c r="AH402" s="84"/>
      <c r="AI402" s="84"/>
      <c r="AJ402" s="84"/>
      <c r="AK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c r="AH403" s="84"/>
      <c r="AI403" s="84"/>
      <c r="AJ403" s="84"/>
      <c r="AK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c r="AI404" s="84"/>
      <c r="AJ404" s="84"/>
      <c r="AK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c r="AB405" s="84"/>
      <c r="AC405" s="84"/>
      <c r="AD405" s="84"/>
      <c r="AE405" s="84"/>
      <c r="AF405" s="84"/>
      <c r="AG405" s="84"/>
      <c r="AH405" s="84"/>
      <c r="AI405" s="84"/>
      <c r="AJ405" s="84"/>
      <c r="AK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c r="AB406" s="84"/>
      <c r="AC406" s="84"/>
      <c r="AD406" s="84"/>
      <c r="AE406" s="84"/>
      <c r="AF406" s="84"/>
      <c r="AG406" s="84"/>
      <c r="AH406" s="84"/>
      <c r="AI406" s="84"/>
      <c r="AJ406" s="84"/>
      <c r="AK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c r="AB407" s="84"/>
      <c r="AC407" s="84"/>
      <c r="AD407" s="84"/>
      <c r="AE407" s="84"/>
      <c r="AF407" s="84"/>
      <c r="AG407" s="84"/>
      <c r="AH407" s="84"/>
      <c r="AI407" s="84"/>
      <c r="AJ407" s="84"/>
      <c r="AK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c r="AB408" s="84"/>
      <c r="AC408" s="84"/>
      <c r="AD408" s="84"/>
      <c r="AE408" s="84"/>
      <c r="AF408" s="84"/>
      <c r="AG408" s="84"/>
      <c r="AH408" s="84"/>
      <c r="AI408" s="84"/>
      <c r="AJ408" s="84"/>
      <c r="AK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c r="AB409" s="84"/>
      <c r="AC409" s="84"/>
      <c r="AD409" s="84"/>
      <c r="AE409" s="84"/>
      <c r="AF409" s="84"/>
      <c r="AG409" s="84"/>
      <c r="AH409" s="84"/>
      <c r="AI409" s="84"/>
      <c r="AJ409" s="84"/>
      <c r="AK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c r="AB410" s="84"/>
      <c r="AC410" s="84"/>
      <c r="AD410" s="84"/>
      <c r="AE410" s="84"/>
      <c r="AF410" s="84"/>
      <c r="AG410" s="84"/>
      <c r="AH410" s="84"/>
      <c r="AI410" s="84"/>
      <c r="AJ410" s="84"/>
      <c r="AK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c r="AB411" s="84"/>
      <c r="AC411" s="84"/>
      <c r="AD411" s="84"/>
      <c r="AE411" s="84"/>
      <c r="AF411" s="84"/>
      <c r="AG411" s="84"/>
      <c r="AH411" s="84"/>
      <c r="AI411" s="84"/>
      <c r="AJ411" s="84"/>
      <c r="AK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c r="AB412" s="84"/>
      <c r="AC412" s="84"/>
      <c r="AD412" s="84"/>
      <c r="AE412" s="84"/>
      <c r="AF412" s="84"/>
      <c r="AG412" s="84"/>
      <c r="AH412" s="84"/>
      <c r="AI412" s="84"/>
      <c r="AJ412" s="84"/>
      <c r="AK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c r="AB413" s="84"/>
      <c r="AC413" s="84"/>
      <c r="AD413" s="84"/>
      <c r="AE413" s="84"/>
      <c r="AF413" s="84"/>
      <c r="AG413" s="84"/>
      <c r="AH413" s="84"/>
      <c r="AI413" s="84"/>
      <c r="AJ413" s="84"/>
      <c r="AK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c r="AB414" s="84"/>
      <c r="AC414" s="84"/>
      <c r="AD414" s="84"/>
      <c r="AE414" s="84"/>
      <c r="AF414" s="84"/>
      <c r="AG414" s="84"/>
      <c r="AH414" s="84"/>
      <c r="AI414" s="84"/>
      <c r="AJ414" s="84"/>
      <c r="AK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c r="AB415" s="84"/>
      <c r="AC415" s="84"/>
      <c r="AD415" s="84"/>
      <c r="AE415" s="84"/>
      <c r="AF415" s="84"/>
      <c r="AG415" s="84"/>
      <c r="AH415" s="84"/>
      <c r="AI415" s="84"/>
      <c r="AJ415" s="84"/>
      <c r="AK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c r="AB416" s="84"/>
      <c r="AC416" s="84"/>
      <c r="AD416" s="84"/>
      <c r="AE416" s="84"/>
      <c r="AF416" s="84"/>
      <c r="AG416" s="84"/>
      <c r="AH416" s="84"/>
      <c r="AI416" s="84"/>
      <c r="AJ416" s="84"/>
      <c r="AK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c r="AB417" s="84"/>
      <c r="AC417" s="84"/>
      <c r="AD417" s="84"/>
      <c r="AE417" s="84"/>
      <c r="AF417" s="84"/>
      <c r="AG417" s="84"/>
      <c r="AH417" s="84"/>
      <c r="AI417" s="84"/>
      <c r="AJ417" s="84"/>
      <c r="AK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c r="AI418" s="84"/>
      <c r="AJ418" s="84"/>
      <c r="AK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c r="AB419" s="84"/>
      <c r="AC419" s="84"/>
      <c r="AD419" s="84"/>
      <c r="AE419" s="84"/>
      <c r="AF419" s="84"/>
      <c r="AG419" s="84"/>
      <c r="AH419" s="84"/>
      <c r="AI419" s="84"/>
      <c r="AJ419" s="84"/>
      <c r="AK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c r="AB420" s="84"/>
      <c r="AC420" s="84"/>
      <c r="AD420" s="84"/>
      <c r="AE420" s="84"/>
      <c r="AF420" s="84"/>
      <c r="AG420" s="84"/>
      <c r="AH420" s="84"/>
      <c r="AI420" s="84"/>
      <c r="AJ420" s="84"/>
      <c r="AK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c r="AB421" s="84"/>
      <c r="AC421" s="84"/>
      <c r="AD421" s="84"/>
      <c r="AE421" s="84"/>
      <c r="AF421" s="84"/>
      <c r="AG421" s="84"/>
      <c r="AH421" s="84"/>
      <c r="AI421" s="84"/>
      <c r="AJ421" s="84"/>
      <c r="AK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c r="AB422" s="84"/>
      <c r="AC422" s="84"/>
      <c r="AD422" s="84"/>
      <c r="AE422" s="84"/>
      <c r="AF422" s="84"/>
      <c r="AG422" s="84"/>
      <c r="AH422" s="84"/>
      <c r="AI422" s="84"/>
      <c r="AJ422" s="84"/>
      <c r="AK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c r="AB423" s="84"/>
      <c r="AC423" s="84"/>
      <c r="AD423" s="84"/>
      <c r="AE423" s="84"/>
      <c r="AF423" s="84"/>
      <c r="AG423" s="84"/>
      <c r="AH423" s="84"/>
      <c r="AI423" s="84"/>
      <c r="AJ423" s="84"/>
      <c r="AK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4"/>
      <c r="AI424" s="84"/>
      <c r="AJ424" s="84"/>
      <c r="AK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c r="AB425" s="84"/>
      <c r="AC425" s="84"/>
      <c r="AD425" s="84"/>
      <c r="AE425" s="84"/>
      <c r="AF425" s="84"/>
      <c r="AG425" s="84"/>
      <c r="AH425" s="84"/>
      <c r="AI425" s="84"/>
      <c r="AJ425" s="84"/>
      <c r="AK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c r="AB426" s="84"/>
      <c r="AC426" s="84"/>
      <c r="AD426" s="84"/>
      <c r="AE426" s="84"/>
      <c r="AF426" s="84"/>
      <c r="AG426" s="84"/>
      <c r="AH426" s="84"/>
      <c r="AI426" s="84"/>
      <c r="AJ426" s="84"/>
      <c r="AK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c r="AB427" s="84"/>
      <c r="AC427" s="84"/>
      <c r="AD427" s="84"/>
      <c r="AE427" s="84"/>
      <c r="AF427" s="84"/>
      <c r="AG427" s="84"/>
      <c r="AH427" s="84"/>
      <c r="AI427" s="84"/>
      <c r="AJ427" s="84"/>
      <c r="AK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c r="AB428" s="84"/>
      <c r="AC428" s="84"/>
      <c r="AD428" s="84"/>
      <c r="AE428" s="84"/>
      <c r="AF428" s="84"/>
      <c r="AG428" s="84"/>
      <c r="AH428" s="84"/>
      <c r="AI428" s="84"/>
      <c r="AJ428" s="84"/>
      <c r="AK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c r="AI429" s="84"/>
      <c r="AJ429" s="84"/>
      <c r="AK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c r="AB430" s="84"/>
      <c r="AC430" s="84"/>
      <c r="AD430" s="84"/>
      <c r="AE430" s="84"/>
      <c r="AF430" s="84"/>
      <c r="AG430" s="84"/>
      <c r="AH430" s="84"/>
      <c r="AI430" s="84"/>
      <c r="AJ430" s="84"/>
      <c r="AK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c r="AB431" s="84"/>
      <c r="AC431" s="84"/>
      <c r="AD431" s="84"/>
      <c r="AE431" s="84"/>
      <c r="AF431" s="84"/>
      <c r="AG431" s="84"/>
      <c r="AH431" s="84"/>
      <c r="AI431" s="84"/>
      <c r="AJ431" s="84"/>
      <c r="AK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c r="AB432" s="84"/>
      <c r="AC432" s="84"/>
      <c r="AD432" s="84"/>
      <c r="AE432" s="84"/>
      <c r="AF432" s="84"/>
      <c r="AG432" s="84"/>
      <c r="AH432" s="84"/>
      <c r="AI432" s="84"/>
      <c r="AJ432" s="84"/>
      <c r="AK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c r="AB433" s="84"/>
      <c r="AC433" s="84"/>
      <c r="AD433" s="84"/>
      <c r="AE433" s="84"/>
      <c r="AF433" s="84"/>
      <c r="AG433" s="84"/>
      <c r="AH433" s="84"/>
      <c r="AI433" s="84"/>
      <c r="AJ433" s="84"/>
      <c r="AK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c r="AB434" s="84"/>
      <c r="AC434" s="84"/>
      <c r="AD434" s="84"/>
      <c r="AE434" s="84"/>
      <c r="AF434" s="84"/>
      <c r="AG434" s="84"/>
      <c r="AH434" s="84"/>
      <c r="AI434" s="84"/>
      <c r="AJ434" s="84"/>
      <c r="AK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4"/>
      <c r="AI435" s="84"/>
      <c r="AJ435" s="84"/>
      <c r="AK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4"/>
      <c r="AI436" s="84"/>
      <c r="AJ436" s="84"/>
      <c r="AK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c r="AB437" s="84"/>
      <c r="AC437" s="84"/>
      <c r="AD437" s="84"/>
      <c r="AE437" s="84"/>
      <c r="AF437" s="84"/>
      <c r="AG437" s="84"/>
      <c r="AH437" s="84"/>
      <c r="AI437" s="84"/>
      <c r="AJ437" s="84"/>
      <c r="AK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c r="AB438" s="84"/>
      <c r="AC438" s="84"/>
      <c r="AD438" s="84"/>
      <c r="AE438" s="84"/>
      <c r="AF438" s="84"/>
      <c r="AG438" s="84"/>
      <c r="AH438" s="84"/>
      <c r="AI438" s="84"/>
      <c r="AJ438" s="84"/>
      <c r="AK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c r="AB439" s="84"/>
      <c r="AC439" s="84"/>
      <c r="AD439" s="84"/>
      <c r="AE439" s="84"/>
      <c r="AF439" s="84"/>
      <c r="AG439" s="84"/>
      <c r="AH439" s="84"/>
      <c r="AI439" s="84"/>
      <c r="AJ439" s="84"/>
      <c r="AK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c r="AI440" s="84"/>
      <c r="AJ440" s="84"/>
      <c r="AK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c r="AB441" s="84"/>
      <c r="AC441" s="84"/>
      <c r="AD441" s="84"/>
      <c r="AE441" s="84"/>
      <c r="AF441" s="84"/>
      <c r="AG441" s="84"/>
      <c r="AH441" s="84"/>
      <c r="AI441" s="84"/>
      <c r="AJ441" s="84"/>
      <c r="AK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c r="AB442" s="84"/>
      <c r="AC442" s="84"/>
      <c r="AD442" s="84"/>
      <c r="AE442" s="84"/>
      <c r="AF442" s="84"/>
      <c r="AG442" s="84"/>
      <c r="AH442" s="84"/>
      <c r="AI442" s="84"/>
      <c r="AJ442" s="84"/>
      <c r="AK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c r="AB443" s="84"/>
      <c r="AC443" s="84"/>
      <c r="AD443" s="84"/>
      <c r="AE443" s="84"/>
      <c r="AF443" s="84"/>
      <c r="AG443" s="84"/>
      <c r="AH443" s="84"/>
      <c r="AI443" s="84"/>
      <c r="AJ443" s="84"/>
      <c r="AK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c r="AB444" s="84"/>
      <c r="AC444" s="84"/>
      <c r="AD444" s="84"/>
      <c r="AE444" s="84"/>
      <c r="AF444" s="84"/>
      <c r="AG444" s="84"/>
      <c r="AH444" s="84"/>
      <c r="AI444" s="84"/>
      <c r="AJ444" s="84"/>
      <c r="AK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c r="AB445" s="84"/>
      <c r="AC445" s="84"/>
      <c r="AD445" s="84"/>
      <c r="AE445" s="84"/>
      <c r="AF445" s="84"/>
      <c r="AG445" s="84"/>
      <c r="AH445" s="84"/>
      <c r="AI445" s="84"/>
      <c r="AJ445" s="84"/>
      <c r="AK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c r="AB446" s="84"/>
      <c r="AC446" s="84"/>
      <c r="AD446" s="84"/>
      <c r="AE446" s="84"/>
      <c r="AF446" s="84"/>
      <c r="AG446" s="84"/>
      <c r="AH446" s="84"/>
      <c r="AI446" s="84"/>
      <c r="AJ446" s="84"/>
      <c r="AK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c r="AB447" s="84"/>
      <c r="AC447" s="84"/>
      <c r="AD447" s="84"/>
      <c r="AE447" s="84"/>
      <c r="AF447" s="84"/>
      <c r="AG447" s="84"/>
      <c r="AH447" s="84"/>
      <c r="AI447" s="84"/>
      <c r="AJ447" s="84"/>
      <c r="AK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c r="AB448" s="84"/>
      <c r="AC448" s="84"/>
      <c r="AD448" s="84"/>
      <c r="AE448" s="84"/>
      <c r="AF448" s="84"/>
      <c r="AG448" s="84"/>
      <c r="AH448" s="84"/>
      <c r="AI448" s="84"/>
      <c r="AJ448" s="84"/>
      <c r="AK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c r="AI449" s="84"/>
      <c r="AJ449" s="84"/>
      <c r="AK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c r="AB450" s="84"/>
      <c r="AC450" s="84"/>
      <c r="AD450" s="84"/>
      <c r="AE450" s="84"/>
      <c r="AF450" s="84"/>
      <c r="AG450" s="84"/>
      <c r="AH450" s="84"/>
      <c r="AI450" s="84"/>
      <c r="AJ450" s="84"/>
      <c r="AK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c r="AB451" s="84"/>
      <c r="AC451" s="84"/>
      <c r="AD451" s="84"/>
      <c r="AE451" s="84"/>
      <c r="AF451" s="84"/>
      <c r="AG451" s="84"/>
      <c r="AH451" s="84"/>
      <c r="AI451" s="84"/>
      <c r="AJ451" s="84"/>
      <c r="AK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c r="AB452" s="84"/>
      <c r="AC452" s="84"/>
      <c r="AD452" s="84"/>
      <c r="AE452" s="84"/>
      <c r="AF452" s="84"/>
      <c r="AG452" s="84"/>
      <c r="AH452" s="84"/>
      <c r="AI452" s="84"/>
      <c r="AJ452" s="84"/>
      <c r="AK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c r="AB453" s="84"/>
      <c r="AC453" s="84"/>
      <c r="AD453" s="84"/>
      <c r="AE453" s="84"/>
      <c r="AF453" s="84"/>
      <c r="AG453" s="84"/>
      <c r="AH453" s="84"/>
      <c r="AI453" s="84"/>
      <c r="AJ453" s="84"/>
      <c r="AK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c r="AB454" s="84"/>
      <c r="AC454" s="84"/>
      <c r="AD454" s="84"/>
      <c r="AE454" s="84"/>
      <c r="AF454" s="84"/>
      <c r="AG454" s="84"/>
      <c r="AH454" s="84"/>
      <c r="AI454" s="84"/>
      <c r="AJ454" s="84"/>
      <c r="AK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c r="AB455" s="84"/>
      <c r="AC455" s="84"/>
      <c r="AD455" s="84"/>
      <c r="AE455" s="84"/>
      <c r="AF455" s="84"/>
      <c r="AG455" s="84"/>
      <c r="AH455" s="84"/>
      <c r="AI455" s="84"/>
      <c r="AJ455" s="84"/>
      <c r="AK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c r="AB456" s="84"/>
      <c r="AC456" s="84"/>
      <c r="AD456" s="84"/>
      <c r="AE456" s="84"/>
      <c r="AF456" s="84"/>
      <c r="AG456" s="84"/>
      <c r="AH456" s="84"/>
      <c r="AI456" s="84"/>
      <c r="AJ456" s="84"/>
      <c r="AK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c r="AB457" s="84"/>
      <c r="AC457" s="84"/>
      <c r="AD457" s="84"/>
      <c r="AE457" s="84"/>
      <c r="AF457" s="84"/>
      <c r="AG457" s="84"/>
      <c r="AH457" s="84"/>
      <c r="AI457" s="84"/>
      <c r="AJ457" s="84"/>
      <c r="AK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c r="AB458" s="84"/>
      <c r="AC458" s="84"/>
      <c r="AD458" s="84"/>
      <c r="AE458" s="84"/>
      <c r="AF458" s="84"/>
      <c r="AG458" s="84"/>
      <c r="AH458" s="84"/>
      <c r="AI458" s="84"/>
      <c r="AJ458" s="84"/>
      <c r="AK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c r="AB459" s="84"/>
      <c r="AC459" s="84"/>
      <c r="AD459" s="84"/>
      <c r="AE459" s="84"/>
      <c r="AF459" s="84"/>
      <c r="AG459" s="84"/>
      <c r="AH459" s="84"/>
      <c r="AI459" s="84"/>
      <c r="AJ459" s="84"/>
      <c r="AK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c r="AK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c r="AB461" s="84"/>
      <c r="AC461" s="84"/>
      <c r="AD461" s="84"/>
      <c r="AE461" s="84"/>
      <c r="AF461" s="84"/>
      <c r="AG461" s="84"/>
      <c r="AH461" s="84"/>
      <c r="AI461" s="84"/>
      <c r="AJ461" s="84"/>
      <c r="AK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c r="AB462" s="84"/>
      <c r="AC462" s="84"/>
      <c r="AD462" s="84"/>
      <c r="AE462" s="84"/>
      <c r="AF462" s="84"/>
      <c r="AG462" s="84"/>
      <c r="AH462" s="84"/>
      <c r="AI462" s="84"/>
      <c r="AJ462" s="84"/>
      <c r="AK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c r="AB463" s="84"/>
      <c r="AC463" s="84"/>
      <c r="AD463" s="84"/>
      <c r="AE463" s="84"/>
      <c r="AF463" s="84"/>
      <c r="AG463" s="84"/>
      <c r="AH463" s="84"/>
      <c r="AI463" s="84"/>
      <c r="AJ463" s="84"/>
      <c r="AK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4"/>
      <c r="AF464" s="84"/>
      <c r="AG464" s="84"/>
      <c r="AH464" s="84"/>
      <c r="AI464" s="84"/>
      <c r="AJ464" s="84"/>
      <c r="AK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c r="AK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c r="AK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c r="AK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c r="AK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c r="AB469" s="84"/>
      <c r="AC469" s="84"/>
      <c r="AD469" s="84"/>
      <c r="AE469" s="84"/>
      <c r="AF469" s="84"/>
      <c r="AG469" s="84"/>
      <c r="AH469" s="84"/>
      <c r="AI469" s="84"/>
      <c r="AJ469" s="84"/>
      <c r="AK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4"/>
      <c r="AF470" s="84"/>
      <c r="AG470" s="84"/>
      <c r="AH470" s="84"/>
      <c r="AI470" s="84"/>
      <c r="AJ470" s="84"/>
      <c r="AK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c r="AB471" s="84"/>
      <c r="AC471" s="84"/>
      <c r="AD471" s="84"/>
      <c r="AE471" s="84"/>
      <c r="AF471" s="84"/>
      <c r="AG471" s="84"/>
      <c r="AH471" s="84"/>
      <c r="AI471" s="84"/>
      <c r="AJ471" s="84"/>
      <c r="AK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c r="AB472" s="84"/>
      <c r="AC472" s="84"/>
      <c r="AD472" s="84"/>
      <c r="AE472" s="84"/>
      <c r="AF472" s="84"/>
      <c r="AG472" s="84"/>
      <c r="AH472" s="84"/>
      <c r="AI472" s="84"/>
      <c r="AJ472" s="84"/>
      <c r="AK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c r="AB473" s="84"/>
      <c r="AC473" s="84"/>
      <c r="AD473" s="84"/>
      <c r="AE473" s="84"/>
      <c r="AF473" s="84"/>
      <c r="AG473" s="84"/>
      <c r="AH473" s="84"/>
      <c r="AI473" s="84"/>
      <c r="AJ473" s="84"/>
      <c r="AK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c r="AB474" s="84"/>
      <c r="AC474" s="84"/>
      <c r="AD474" s="84"/>
      <c r="AE474" s="84"/>
      <c r="AF474" s="84"/>
      <c r="AG474" s="84"/>
      <c r="AH474" s="84"/>
      <c r="AI474" s="84"/>
      <c r="AJ474" s="84"/>
      <c r="AK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c r="AB475" s="84"/>
      <c r="AC475" s="84"/>
      <c r="AD475" s="84"/>
      <c r="AE475" s="84"/>
      <c r="AF475" s="84"/>
      <c r="AG475" s="84"/>
      <c r="AH475" s="84"/>
      <c r="AI475" s="84"/>
      <c r="AJ475" s="84"/>
      <c r="AK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c r="AB476" s="84"/>
      <c r="AC476" s="84"/>
      <c r="AD476" s="84"/>
      <c r="AE476" s="84"/>
      <c r="AF476" s="84"/>
      <c r="AG476" s="84"/>
      <c r="AH476" s="84"/>
      <c r="AI476" s="84"/>
      <c r="AJ476" s="84"/>
      <c r="AK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c r="AB477" s="84"/>
      <c r="AC477" s="84"/>
      <c r="AD477" s="84"/>
      <c r="AE477" s="84"/>
      <c r="AF477" s="84"/>
      <c r="AG477" s="84"/>
      <c r="AH477" s="84"/>
      <c r="AI477" s="84"/>
      <c r="AJ477" s="84"/>
      <c r="AK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c r="AB478" s="84"/>
      <c r="AC478" s="84"/>
      <c r="AD478" s="84"/>
      <c r="AE478" s="84"/>
      <c r="AF478" s="84"/>
      <c r="AG478" s="84"/>
      <c r="AH478" s="84"/>
      <c r="AI478" s="84"/>
      <c r="AJ478" s="84"/>
      <c r="AK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c r="AB479" s="84"/>
      <c r="AC479" s="84"/>
      <c r="AD479" s="84"/>
      <c r="AE479" s="84"/>
      <c r="AF479" s="84"/>
      <c r="AG479" s="84"/>
      <c r="AH479" s="84"/>
      <c r="AI479" s="84"/>
      <c r="AJ479" s="84"/>
      <c r="AK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c r="AB480" s="84"/>
      <c r="AC480" s="84"/>
      <c r="AD480" s="84"/>
      <c r="AE480" s="84"/>
      <c r="AF480" s="84"/>
      <c r="AG480" s="84"/>
      <c r="AH480" s="84"/>
      <c r="AI480" s="84"/>
      <c r="AJ480" s="84"/>
      <c r="AK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c r="AB481" s="84"/>
      <c r="AC481" s="84"/>
      <c r="AD481" s="84"/>
      <c r="AE481" s="84"/>
      <c r="AF481" s="84"/>
      <c r="AG481" s="84"/>
      <c r="AH481" s="84"/>
      <c r="AI481" s="84"/>
      <c r="AJ481" s="84"/>
      <c r="AK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c r="AB482" s="84"/>
      <c r="AC482" s="84"/>
      <c r="AD482" s="84"/>
      <c r="AE482" s="84"/>
      <c r="AF482" s="84"/>
      <c r="AG482" s="84"/>
      <c r="AH482" s="84"/>
      <c r="AI482" s="84"/>
      <c r="AJ482" s="84"/>
      <c r="AK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c r="AB483" s="84"/>
      <c r="AC483" s="84"/>
      <c r="AD483" s="84"/>
      <c r="AE483" s="84"/>
      <c r="AF483" s="84"/>
      <c r="AG483" s="84"/>
      <c r="AH483" s="84"/>
      <c r="AI483" s="84"/>
      <c r="AJ483" s="84"/>
      <c r="AK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c r="AB484" s="84"/>
      <c r="AC484" s="84"/>
      <c r="AD484" s="84"/>
      <c r="AE484" s="84"/>
      <c r="AF484" s="84"/>
      <c r="AG484" s="84"/>
      <c r="AH484" s="84"/>
      <c r="AI484" s="84"/>
      <c r="AJ484" s="84"/>
      <c r="AK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c r="AB485" s="84"/>
      <c r="AC485" s="84"/>
      <c r="AD485" s="84"/>
      <c r="AE485" s="84"/>
      <c r="AF485" s="84"/>
      <c r="AG485" s="84"/>
      <c r="AH485" s="84"/>
      <c r="AI485" s="84"/>
      <c r="AJ485" s="84"/>
      <c r="AK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c r="AB486" s="84"/>
      <c r="AC486" s="84"/>
      <c r="AD486" s="84"/>
      <c r="AE486" s="84"/>
      <c r="AF486" s="84"/>
      <c r="AG486" s="84"/>
      <c r="AH486" s="84"/>
      <c r="AI486" s="84"/>
      <c r="AJ486" s="84"/>
      <c r="AK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c r="AI487" s="84"/>
      <c r="AJ487" s="84"/>
      <c r="AK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c r="AB488" s="84"/>
      <c r="AC488" s="84"/>
      <c r="AD488" s="84"/>
      <c r="AE488" s="84"/>
      <c r="AF488" s="84"/>
      <c r="AG488" s="84"/>
      <c r="AH488" s="84"/>
      <c r="AI488" s="84"/>
      <c r="AJ488" s="84"/>
      <c r="AK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c r="AB489" s="84"/>
      <c r="AC489" s="84"/>
      <c r="AD489" s="84"/>
      <c r="AE489" s="84"/>
      <c r="AF489" s="84"/>
      <c r="AG489" s="84"/>
      <c r="AH489" s="84"/>
      <c r="AI489" s="84"/>
      <c r="AJ489" s="84"/>
      <c r="AK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c r="AB490" s="84"/>
      <c r="AC490" s="84"/>
      <c r="AD490" s="84"/>
      <c r="AE490" s="84"/>
      <c r="AF490" s="84"/>
      <c r="AG490" s="84"/>
      <c r="AH490" s="84"/>
      <c r="AI490" s="84"/>
      <c r="AJ490" s="84"/>
      <c r="AK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c r="AB491" s="84"/>
      <c r="AC491" s="84"/>
      <c r="AD491" s="84"/>
      <c r="AE491" s="84"/>
      <c r="AF491" s="84"/>
      <c r="AG491" s="84"/>
      <c r="AH491" s="84"/>
      <c r="AI491" s="84"/>
      <c r="AJ491" s="84"/>
      <c r="AK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c r="AB492" s="84"/>
      <c r="AC492" s="84"/>
      <c r="AD492" s="84"/>
      <c r="AE492" s="84"/>
      <c r="AF492" s="84"/>
      <c r="AG492" s="84"/>
      <c r="AH492" s="84"/>
      <c r="AI492" s="84"/>
      <c r="AJ492" s="84"/>
      <c r="AK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c r="AB493" s="84"/>
      <c r="AC493" s="84"/>
      <c r="AD493" s="84"/>
      <c r="AE493" s="84"/>
      <c r="AF493" s="84"/>
      <c r="AG493" s="84"/>
      <c r="AH493" s="84"/>
      <c r="AI493" s="84"/>
      <c r="AJ493" s="84"/>
      <c r="AK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c r="AB494" s="84"/>
      <c r="AC494" s="84"/>
      <c r="AD494" s="84"/>
      <c r="AE494" s="84"/>
      <c r="AF494" s="84"/>
      <c r="AG494" s="84"/>
      <c r="AH494" s="84"/>
      <c r="AI494" s="84"/>
      <c r="AJ494" s="84"/>
      <c r="AK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c r="AB495" s="84"/>
      <c r="AC495" s="84"/>
      <c r="AD495" s="84"/>
      <c r="AE495" s="84"/>
      <c r="AF495" s="84"/>
      <c r="AG495" s="84"/>
      <c r="AH495" s="84"/>
      <c r="AI495" s="84"/>
      <c r="AJ495" s="84"/>
      <c r="AK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c r="AB496" s="84"/>
      <c r="AC496" s="84"/>
      <c r="AD496" s="84"/>
      <c r="AE496" s="84"/>
      <c r="AF496" s="84"/>
      <c r="AG496" s="84"/>
      <c r="AH496" s="84"/>
      <c r="AI496" s="84"/>
      <c r="AJ496" s="84"/>
      <c r="AK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c r="AI497" s="84"/>
      <c r="AJ497" s="84"/>
      <c r="AK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c r="AB498" s="84"/>
      <c r="AC498" s="84"/>
      <c r="AD498" s="84"/>
      <c r="AE498" s="84"/>
      <c r="AF498" s="84"/>
      <c r="AG498" s="84"/>
      <c r="AH498" s="84"/>
      <c r="AI498" s="84"/>
      <c r="AJ498" s="84"/>
      <c r="AK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c r="AI499" s="84"/>
      <c r="AJ499" s="84"/>
      <c r="AK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c r="AI500" s="84"/>
      <c r="AJ500" s="84"/>
      <c r="AK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c r="AI501" s="84"/>
      <c r="AJ501" s="84"/>
      <c r="AK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c r="AI502" s="84"/>
      <c r="AJ502" s="84"/>
      <c r="AK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c r="AI503" s="84"/>
      <c r="AJ503" s="84"/>
      <c r="AK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c r="AI504" s="84"/>
      <c r="AJ504" s="84"/>
      <c r="AK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c r="AI505" s="84"/>
      <c r="AJ505" s="84"/>
      <c r="AK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c r="AI506" s="84"/>
      <c r="AJ506" s="84"/>
      <c r="AK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c r="AI507" s="84"/>
      <c r="AJ507" s="84"/>
      <c r="AK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c r="AI508" s="84"/>
      <c r="AJ508" s="84"/>
      <c r="AK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c r="AI510" s="84"/>
      <c r="AJ510" s="84"/>
      <c r="AK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c r="AI511" s="84"/>
      <c r="AJ511" s="84"/>
      <c r="AK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c r="AK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c r="AI513" s="84"/>
      <c r="AJ513" s="84"/>
      <c r="AK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c r="AI514" s="84"/>
      <c r="AJ514" s="84"/>
      <c r="AK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c r="AI515" s="84"/>
      <c r="AJ515" s="84"/>
      <c r="AK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c r="AI516" s="84"/>
      <c r="AJ516" s="84"/>
      <c r="AK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c r="AI517" s="84"/>
      <c r="AJ517" s="84"/>
      <c r="AK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c r="AI518" s="84"/>
      <c r="AJ518" s="84"/>
      <c r="AK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c r="AI519" s="84"/>
      <c r="AJ519" s="84"/>
      <c r="AK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c r="AK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c r="AI521" s="84"/>
      <c r="AJ521" s="84"/>
      <c r="AK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c r="AI522" s="84"/>
      <c r="AJ522" s="84"/>
      <c r="AK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c r="AI523" s="84"/>
      <c r="AJ523" s="84"/>
      <c r="AK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c r="AI524" s="84"/>
      <c r="AJ524" s="84"/>
      <c r="AK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c r="AI525" s="84"/>
      <c r="AJ525" s="84"/>
      <c r="AK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c r="AI526" s="84"/>
      <c r="AJ526" s="84"/>
      <c r="AK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c r="AI527" s="84"/>
      <c r="AJ527" s="84"/>
      <c r="AK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c r="AI528" s="84"/>
      <c r="AJ528" s="84"/>
      <c r="AK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c r="AI529" s="84"/>
      <c r="AJ529" s="84"/>
      <c r="AK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c r="AI530" s="84"/>
      <c r="AJ530" s="84"/>
      <c r="AK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c r="AI531" s="84"/>
      <c r="AJ531" s="84"/>
      <c r="AK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c r="AI532" s="84"/>
      <c r="AJ532" s="84"/>
      <c r="AK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c r="AI533" s="84"/>
      <c r="AJ533" s="84"/>
      <c r="AK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c r="AI534" s="84"/>
      <c r="AJ534" s="84"/>
      <c r="AK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c r="AK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c r="AI536" s="84"/>
      <c r="AJ536" s="84"/>
      <c r="AK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c r="AI537" s="84"/>
      <c r="AJ537" s="84"/>
      <c r="AK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c r="AI538" s="84"/>
      <c r="AJ538" s="84"/>
      <c r="AK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c r="AI539" s="84"/>
      <c r="AJ539" s="84"/>
      <c r="AK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c r="AI540" s="84"/>
      <c r="AJ540" s="84"/>
      <c r="AK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c r="AI541" s="84"/>
      <c r="AJ541" s="84"/>
      <c r="AK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c r="AI542" s="84"/>
      <c r="AJ542" s="84"/>
      <c r="AK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c r="AI543" s="84"/>
      <c r="AJ543" s="84"/>
      <c r="AK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c r="AI544" s="84"/>
      <c r="AJ544" s="84"/>
      <c r="AK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c r="AI545" s="84"/>
      <c r="AJ545" s="84"/>
      <c r="AK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c r="AI546" s="84"/>
      <c r="AJ546" s="84"/>
      <c r="AK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c r="AK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c r="AK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c r="AI550" s="84"/>
      <c r="AJ550" s="84"/>
      <c r="AK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c r="AK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c r="AI552" s="84"/>
      <c r="AJ552" s="84"/>
      <c r="AK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c r="AI553" s="84"/>
      <c r="AJ553" s="84"/>
      <c r="AK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c r="AK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c r="AI555" s="84"/>
      <c r="AJ555" s="84"/>
      <c r="AK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c r="AI556" s="84"/>
      <c r="AJ556" s="84"/>
      <c r="AK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c r="AI557" s="84"/>
      <c r="AJ557" s="84"/>
      <c r="AK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c r="AI558" s="84"/>
      <c r="AJ558" s="84"/>
      <c r="AK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c r="AI559" s="84"/>
      <c r="AJ559" s="84"/>
      <c r="AK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c r="AI560" s="84"/>
      <c r="AJ560" s="84"/>
      <c r="AK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c r="AI561" s="84"/>
      <c r="AJ561" s="84"/>
      <c r="AK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c r="AI562" s="84"/>
      <c r="AJ562" s="84"/>
      <c r="AK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c r="AI563" s="84"/>
      <c r="AJ563" s="84"/>
      <c r="AK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c r="AI564" s="84"/>
      <c r="AJ564" s="84"/>
      <c r="AK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c r="AI565" s="84"/>
      <c r="AJ565" s="84"/>
      <c r="AK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c r="AI566" s="84"/>
      <c r="AJ566" s="84"/>
      <c r="AK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c r="AK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c r="AI568" s="84"/>
      <c r="AJ568" s="84"/>
      <c r="AK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c r="AI569" s="84"/>
      <c r="AJ569" s="84"/>
      <c r="AK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c r="AI570" s="84"/>
      <c r="AJ570" s="84"/>
      <c r="AK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c r="AI571" s="84"/>
      <c r="AJ571" s="84"/>
      <c r="AK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c r="AI572" s="84"/>
      <c r="AJ572" s="84"/>
      <c r="AK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c r="AI574" s="84"/>
      <c r="AJ574" s="84"/>
      <c r="AK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c r="AI576" s="84"/>
      <c r="AJ576" s="84"/>
      <c r="AK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c r="AI577" s="84"/>
      <c r="AJ577" s="84"/>
      <c r="AK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c r="AI578" s="84"/>
      <c r="AJ578" s="84"/>
      <c r="AK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c r="AI579" s="84"/>
      <c r="AJ579" s="84"/>
      <c r="AK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c r="AI581" s="84"/>
      <c r="AJ581" s="84"/>
      <c r="AK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c r="AI582" s="84"/>
      <c r="AJ582" s="84"/>
      <c r="AK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c r="AI583" s="84"/>
      <c r="AJ583" s="84"/>
      <c r="AK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c r="AI584" s="84"/>
      <c r="AJ584" s="84"/>
      <c r="AK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c r="AI585" s="84"/>
      <c r="AJ585" s="84"/>
      <c r="AK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c r="AI586" s="84"/>
      <c r="AJ586" s="84"/>
      <c r="AK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c r="AI587" s="84"/>
      <c r="AJ587" s="84"/>
      <c r="AK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c r="AK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c r="AI589" s="84"/>
      <c r="AJ589" s="84"/>
      <c r="AK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c r="AI590" s="84"/>
      <c r="AJ590" s="84"/>
      <c r="AK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c r="AI591" s="84"/>
      <c r="AJ591" s="84"/>
      <c r="AK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c r="AI592" s="84"/>
      <c r="AJ592" s="84"/>
      <c r="AK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c r="AK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c r="AI594" s="84"/>
      <c r="AJ594" s="84"/>
      <c r="AK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c r="AI595" s="84"/>
      <c r="AJ595" s="84"/>
      <c r="AK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c r="AK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c r="AI597" s="84"/>
      <c r="AJ597" s="84"/>
      <c r="AK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c r="AI598" s="84"/>
      <c r="AJ598" s="84"/>
      <c r="AK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c r="AI599" s="84"/>
      <c r="AJ599" s="84"/>
      <c r="AK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c r="AI600" s="84"/>
      <c r="AJ600" s="84"/>
      <c r="AK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c r="AI601" s="84"/>
      <c r="AJ601" s="84"/>
      <c r="AK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c r="AI602" s="84"/>
      <c r="AJ602" s="84"/>
      <c r="AK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c r="AI603" s="84"/>
      <c r="AJ603" s="84"/>
      <c r="AK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c r="AI604" s="84"/>
      <c r="AJ604" s="84"/>
      <c r="AK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c r="AI605" s="84"/>
      <c r="AJ605" s="84"/>
      <c r="AK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c r="AK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c r="AI607" s="84"/>
      <c r="AJ607" s="84"/>
      <c r="AK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c r="AI608" s="84"/>
      <c r="AJ608" s="84"/>
      <c r="AK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c r="AI609" s="84"/>
      <c r="AJ609" s="84"/>
      <c r="AK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c r="AI610" s="84"/>
      <c r="AJ610" s="84"/>
      <c r="AK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c r="AI611" s="84"/>
      <c r="AJ611" s="84"/>
      <c r="AK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c r="AI612" s="84"/>
      <c r="AJ612" s="84"/>
      <c r="AK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c r="AI613" s="84"/>
      <c r="AJ613" s="84"/>
      <c r="AK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c r="AI614" s="84"/>
      <c r="AJ614" s="84"/>
      <c r="AK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c r="AI615" s="84"/>
      <c r="AJ615" s="84"/>
      <c r="AK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c r="AI616" s="84"/>
      <c r="AJ616" s="84"/>
      <c r="AK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c r="AI617" s="84"/>
      <c r="AJ617" s="84"/>
      <c r="AK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c r="AI618" s="84"/>
      <c r="AJ618" s="84"/>
      <c r="AK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c r="AI619" s="84"/>
      <c r="AJ619" s="84"/>
      <c r="AK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c r="AI620" s="84"/>
      <c r="AJ620" s="84"/>
      <c r="AK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c r="AI621" s="84"/>
      <c r="AJ621" s="84"/>
      <c r="AK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c r="AI622" s="84"/>
      <c r="AJ622" s="84"/>
      <c r="AK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c r="AI623" s="84"/>
      <c r="AJ623" s="84"/>
      <c r="AK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c r="AI624" s="84"/>
      <c r="AJ624" s="84"/>
      <c r="AK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c r="AI625" s="84"/>
      <c r="AJ625" s="84"/>
      <c r="AK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c r="AI626" s="84"/>
      <c r="AJ626" s="84"/>
      <c r="AK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c r="AI627" s="84"/>
      <c r="AJ627" s="84"/>
      <c r="AK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c r="AK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c r="AK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c r="AK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c r="AI631" s="84"/>
      <c r="AJ631" s="84"/>
      <c r="AK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c r="AI632" s="84"/>
      <c r="AJ632" s="84"/>
      <c r="AK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c r="AI633" s="84"/>
      <c r="AJ633" s="84"/>
      <c r="AK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c r="AI634" s="84"/>
      <c r="AJ634" s="84"/>
      <c r="AK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c r="AI635" s="84"/>
      <c r="AJ635" s="84"/>
      <c r="AK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c r="AI636" s="84"/>
      <c r="AJ636" s="84"/>
      <c r="AK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c r="AK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c r="AI638" s="84"/>
      <c r="AJ638" s="84"/>
      <c r="AK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c r="AI639" s="84"/>
      <c r="AJ639" s="84"/>
      <c r="AK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c r="AI640" s="84"/>
      <c r="AJ640" s="84"/>
      <c r="AK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c r="AI641" s="84"/>
      <c r="AJ641" s="84"/>
      <c r="AK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c r="AI642" s="84"/>
      <c r="AJ642" s="84"/>
      <c r="AK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c r="AI643" s="84"/>
      <c r="AJ643" s="84"/>
      <c r="AK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c r="AI644" s="84"/>
      <c r="AJ644" s="84"/>
      <c r="AK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c r="AI645" s="84"/>
      <c r="AJ645" s="84"/>
      <c r="AK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c r="AI646" s="84"/>
      <c r="AJ646" s="84"/>
      <c r="AK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c r="AI647" s="84"/>
      <c r="AJ647" s="84"/>
      <c r="AK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c r="AI648" s="84"/>
      <c r="AJ648" s="84"/>
      <c r="AK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c r="AI649" s="84"/>
      <c r="AJ649" s="84"/>
      <c r="AK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c r="AI650" s="84"/>
      <c r="AJ650" s="84"/>
      <c r="AK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c r="AI651" s="84"/>
      <c r="AJ651" s="84"/>
      <c r="AK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c r="AI652" s="84"/>
      <c r="AJ652" s="84"/>
      <c r="AK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c r="AI653" s="84"/>
      <c r="AJ653" s="84"/>
      <c r="AK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c r="AI654" s="84"/>
      <c r="AJ654" s="84"/>
      <c r="AK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c r="AI655" s="84"/>
      <c r="AJ655" s="84"/>
      <c r="AK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c r="AI656" s="84"/>
      <c r="AJ656" s="84"/>
      <c r="AK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c r="AI657" s="84"/>
      <c r="AJ657" s="84"/>
      <c r="AK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c r="AI658" s="84"/>
      <c r="AJ658" s="84"/>
      <c r="AK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c r="AI659" s="84"/>
      <c r="AJ659" s="84"/>
      <c r="AK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c r="AI660" s="84"/>
      <c r="AJ660" s="84"/>
      <c r="AK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c r="AI661" s="84"/>
      <c r="AJ661" s="84"/>
      <c r="AK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c r="AI662" s="84"/>
      <c r="AJ662" s="84"/>
      <c r="AK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c r="AI663" s="84"/>
      <c r="AJ663" s="84"/>
      <c r="AK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c r="AI664" s="84"/>
      <c r="AJ664" s="84"/>
      <c r="AK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c r="AI665" s="84"/>
      <c r="AJ665" s="84"/>
      <c r="AK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c r="AI666" s="84"/>
      <c r="AJ666" s="84"/>
      <c r="AK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c r="AK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c r="AI668" s="84"/>
      <c r="AJ668" s="84"/>
      <c r="AK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c r="AI669" s="84"/>
      <c r="AJ669" s="84"/>
      <c r="AK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c r="AI670" s="84"/>
      <c r="AJ670" s="84"/>
      <c r="AK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c r="AI671" s="84"/>
      <c r="AJ671" s="84"/>
      <c r="AK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c r="AI672" s="84"/>
      <c r="AJ672" s="84"/>
      <c r="AK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c r="AI673" s="84"/>
      <c r="AJ673" s="84"/>
      <c r="AK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c r="AI674" s="84"/>
      <c r="AJ674" s="84"/>
      <c r="AK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c r="AI675" s="84"/>
      <c r="AJ675" s="84"/>
      <c r="AK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c r="AI676" s="84"/>
      <c r="AJ676" s="84"/>
      <c r="AK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c r="AI677" s="84"/>
      <c r="AJ677" s="84"/>
      <c r="AK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c r="AI678" s="84"/>
      <c r="AJ678" s="84"/>
      <c r="AK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c r="AI679" s="84"/>
      <c r="AJ679" s="84"/>
      <c r="AK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c r="AI680" s="84"/>
      <c r="AJ680" s="84"/>
      <c r="AK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c r="AI681" s="84"/>
      <c r="AJ681" s="84"/>
      <c r="AK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c r="AI682" s="84"/>
      <c r="AJ682" s="84"/>
      <c r="AK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c r="AI683" s="84"/>
      <c r="AJ683" s="84"/>
      <c r="AK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c r="AI684" s="84"/>
      <c r="AJ684" s="84"/>
      <c r="AK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c r="AI685" s="84"/>
      <c r="AJ685" s="84"/>
      <c r="AK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c r="AI686" s="84"/>
      <c r="AJ686" s="84"/>
      <c r="AK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c r="AI687" s="84"/>
      <c r="AJ687" s="84"/>
      <c r="AK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c r="AI688" s="84"/>
      <c r="AJ688" s="84"/>
      <c r="AK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c r="AI689" s="84"/>
      <c r="AJ689" s="84"/>
      <c r="AK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c r="AI690" s="84"/>
      <c r="AJ690" s="84"/>
      <c r="AK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c r="AI691" s="84"/>
      <c r="AJ691" s="84"/>
      <c r="AK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c r="AI692" s="84"/>
      <c r="AJ692" s="84"/>
      <c r="AK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c r="AI693" s="84"/>
      <c r="AJ693" s="84"/>
      <c r="AK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c r="AI694" s="84"/>
      <c r="AJ694" s="84"/>
      <c r="AK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c r="AI695" s="84"/>
      <c r="AJ695" s="84"/>
      <c r="AK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c r="AI696" s="84"/>
      <c r="AJ696" s="84"/>
      <c r="AK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c r="AI697" s="84"/>
      <c r="AJ697" s="84"/>
      <c r="AK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c r="AI698" s="84"/>
      <c r="AJ698" s="84"/>
      <c r="AK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c r="AI699" s="84"/>
      <c r="AJ699" s="84"/>
      <c r="AK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c r="AI700" s="84"/>
      <c r="AJ700" s="84"/>
      <c r="AK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c r="AI701" s="84"/>
      <c r="AJ701" s="84"/>
      <c r="AK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c r="AI704" s="84"/>
      <c r="AJ704" s="84"/>
      <c r="AK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c r="AI705" s="84"/>
      <c r="AJ705" s="84"/>
      <c r="AK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c r="AI706" s="84"/>
      <c r="AJ706" s="84"/>
      <c r="AK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c r="AI707" s="84"/>
      <c r="AJ707" s="84"/>
      <c r="AK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c r="AI708" s="84"/>
      <c r="AJ708" s="84"/>
      <c r="AK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c r="AI709" s="84"/>
      <c r="AJ709" s="84"/>
      <c r="AK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c r="AK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c r="AI712" s="84"/>
      <c r="AJ712" s="84"/>
      <c r="AK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c r="AI713" s="84"/>
      <c r="AJ713" s="84"/>
      <c r="AK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c r="AI714" s="84"/>
      <c r="AJ714" s="84"/>
      <c r="AK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c r="AI715" s="84"/>
      <c r="AJ715" s="84"/>
      <c r="AK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c r="AI716" s="84"/>
      <c r="AJ716" s="84"/>
      <c r="AK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c r="AK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c r="AI718" s="84"/>
      <c r="AJ718" s="84"/>
      <c r="AK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c r="AI719" s="84"/>
      <c r="AJ719" s="84"/>
      <c r="AK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c r="AI720" s="84"/>
      <c r="AJ720" s="84"/>
      <c r="AK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c r="AI721" s="84"/>
      <c r="AJ721" s="84"/>
      <c r="AK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c r="AI722" s="84"/>
      <c r="AJ722" s="84"/>
      <c r="AK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c r="AI723" s="84"/>
      <c r="AJ723" s="84"/>
      <c r="AK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c r="AI724" s="84"/>
      <c r="AJ724" s="84"/>
      <c r="AK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c r="AI725" s="84"/>
      <c r="AJ725" s="84"/>
      <c r="AK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c r="AI726" s="84"/>
      <c r="AJ726" s="84"/>
      <c r="AK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c r="AI727" s="84"/>
      <c r="AJ727" s="84"/>
      <c r="AK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c r="AI728" s="84"/>
      <c r="AJ728" s="84"/>
      <c r="AK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c r="AI729" s="84"/>
      <c r="AJ729" s="84"/>
      <c r="AK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c r="AI730" s="84"/>
      <c r="AJ730" s="84"/>
      <c r="AK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c r="AI731" s="84"/>
      <c r="AJ731" s="84"/>
      <c r="AK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c r="AI732" s="84"/>
      <c r="AJ732" s="84"/>
      <c r="AK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c r="AI733" s="84"/>
      <c r="AJ733" s="84"/>
      <c r="AK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c r="AI734" s="84"/>
      <c r="AJ734" s="84"/>
      <c r="AK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c r="AI735" s="84"/>
      <c r="AJ735" s="84"/>
      <c r="AK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c r="AI736" s="84"/>
      <c r="AJ736" s="84"/>
      <c r="AK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c r="AI737" s="84"/>
      <c r="AJ737" s="84"/>
      <c r="AK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c r="AI738" s="84"/>
      <c r="AJ738" s="84"/>
      <c r="AK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c r="AI739" s="84"/>
      <c r="AJ739" s="84"/>
      <c r="AK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c r="AI740" s="84"/>
      <c r="AJ740" s="84"/>
      <c r="AK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c r="AI741" s="84"/>
      <c r="AJ741" s="84"/>
      <c r="AK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c r="AK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c r="AI743" s="84"/>
      <c r="AJ743" s="84"/>
      <c r="AK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c r="AI744" s="84"/>
      <c r="AJ744" s="84"/>
      <c r="AK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c r="AI745" s="84"/>
      <c r="AJ745" s="84"/>
      <c r="AK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c r="AI746" s="84"/>
      <c r="AJ746" s="84"/>
      <c r="AK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c r="AI747" s="84"/>
      <c r="AJ747" s="84"/>
      <c r="AK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c r="AI748" s="84"/>
      <c r="AJ748" s="84"/>
      <c r="AK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c r="AK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c r="AI750" s="84"/>
      <c r="AJ750" s="84"/>
      <c r="AK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c r="AI751" s="84"/>
      <c r="AJ751" s="84"/>
      <c r="AK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c r="AK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c r="AK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c r="AK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c r="AK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c r="AK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c r="AK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c r="AK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c r="AK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c r="AK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c r="AK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c r="AK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c r="AK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c r="AK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c r="AK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c r="AK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c r="AK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c r="AK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c r="AK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c r="AK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c r="AK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c r="AK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c r="AK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c r="AK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c r="AK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c r="AK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c r="AK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c r="AK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c r="AK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c r="AK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c r="AK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c r="AK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c r="AK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c r="AK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c r="AK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c r="AK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c r="AK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c r="AK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c r="AK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c r="AK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c r="AK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c r="AK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c r="AK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c r="AK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c r="AK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c r="AK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c r="AK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c r="AK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c r="AK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c r="AK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c r="AK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c r="AK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c r="AK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c r="AK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c r="AK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c r="AK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c r="AK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c r="AK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c r="AK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c r="AK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c r="AK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c r="AK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c r="AK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c r="AK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c r="AK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c r="AK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c r="AK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c r="AK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c r="AK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c r="AK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c r="AK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c r="AK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c r="AK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c r="AK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c r="AK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c r="AK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c r="AI831" s="84"/>
      <c r="AJ831" s="84"/>
      <c r="AK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c r="AI832" s="84"/>
      <c r="AJ832" s="84"/>
      <c r="AK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c r="AI833" s="84"/>
      <c r="AJ833" s="84"/>
      <c r="AK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c r="AI834" s="84"/>
      <c r="AJ834" s="84"/>
      <c r="AK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c r="AI835" s="84"/>
      <c r="AJ835" s="84"/>
      <c r="AK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c r="AI836" s="84"/>
      <c r="AJ836" s="84"/>
      <c r="AK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c r="AI837" s="84"/>
      <c r="AJ837" s="84"/>
      <c r="AK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c r="AI838" s="84"/>
      <c r="AJ838" s="84"/>
      <c r="AK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c r="AI839" s="84"/>
      <c r="AJ839" s="84"/>
      <c r="AK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c r="AI840" s="84"/>
      <c r="AJ840" s="84"/>
      <c r="AK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c r="AI841" s="84"/>
      <c r="AJ841" s="84"/>
      <c r="AK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c r="AI842" s="84"/>
      <c r="AJ842" s="84"/>
      <c r="AK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c r="AI843" s="84"/>
      <c r="AJ843" s="84"/>
      <c r="AK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c r="AI844" s="84"/>
      <c r="AJ844" s="84"/>
      <c r="AK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c r="AI845" s="84"/>
      <c r="AJ845" s="84"/>
      <c r="AK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c r="AI846" s="84"/>
      <c r="AJ846" s="84"/>
      <c r="AK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c r="AK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c r="AI849" s="84"/>
      <c r="AJ849" s="84"/>
      <c r="AK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c r="AI850" s="84"/>
      <c r="AJ850" s="84"/>
      <c r="AK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c r="AI851" s="84"/>
      <c r="AJ851" s="84"/>
      <c r="AK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c r="AI852" s="84"/>
      <c r="AJ852" s="84"/>
      <c r="AK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c r="AI854" s="84"/>
      <c r="AJ854" s="84"/>
      <c r="AK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c r="AI855" s="84"/>
      <c r="AJ855" s="84"/>
      <c r="AK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c r="AI856" s="84"/>
      <c r="AJ856" s="84"/>
      <c r="AK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c r="AI857" s="84"/>
      <c r="AJ857" s="84"/>
      <c r="AK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c r="AI858" s="84"/>
      <c r="AJ858" s="84"/>
      <c r="AK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c r="AI859" s="84"/>
      <c r="AJ859" s="84"/>
      <c r="AK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c r="AI860" s="84"/>
      <c r="AJ860" s="84"/>
      <c r="AK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c r="AI861" s="84"/>
      <c r="AJ861" s="84"/>
      <c r="AK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c r="AI862" s="84"/>
      <c r="AJ862" s="84"/>
      <c r="AK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c r="AI863" s="84"/>
      <c r="AJ863" s="84"/>
      <c r="AK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c r="AI864" s="84"/>
      <c r="AJ864" s="84"/>
      <c r="AK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c r="AI865" s="84"/>
      <c r="AJ865" s="84"/>
      <c r="AK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c r="AI866" s="84"/>
      <c r="AJ866" s="84"/>
      <c r="AK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c r="AI867" s="84"/>
      <c r="AJ867" s="84"/>
      <c r="AK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c r="AI868" s="84"/>
      <c r="AJ868" s="84"/>
      <c r="AK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c r="AI869" s="84"/>
      <c r="AJ869" s="84"/>
      <c r="AK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c r="AI870" s="84"/>
      <c r="AJ870" s="84"/>
      <c r="AK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c r="AI871" s="84"/>
      <c r="AJ871" s="84"/>
      <c r="AK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c r="AI872" s="84"/>
      <c r="AJ872" s="84"/>
      <c r="AK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c r="AI873" s="84"/>
      <c r="AJ873" s="84"/>
      <c r="AK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c r="AI874" s="84"/>
      <c r="AJ874" s="84"/>
      <c r="AK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c r="AI875" s="84"/>
      <c r="AJ875" s="84"/>
      <c r="AK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c r="AI876" s="84"/>
      <c r="AJ876" s="84"/>
      <c r="AK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c r="AI877" s="84"/>
      <c r="AJ877" s="84"/>
      <c r="AK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c r="AI878" s="84"/>
      <c r="AJ878" s="84"/>
      <c r="AK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c r="AI879" s="84"/>
      <c r="AJ879" s="84"/>
      <c r="AK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c r="AI880" s="84"/>
      <c r="AJ880" s="84"/>
      <c r="AK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c r="AI881" s="84"/>
      <c r="AJ881" s="84"/>
      <c r="AK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c r="AI882" s="84"/>
      <c r="AJ882" s="84"/>
      <c r="AK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c r="AI883" s="84"/>
      <c r="AJ883" s="84"/>
      <c r="AK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c r="AI884" s="84"/>
      <c r="AJ884" s="84"/>
      <c r="AK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c r="AI885" s="84"/>
      <c r="AJ885" s="84"/>
      <c r="AK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c r="AI886" s="84"/>
      <c r="AJ886" s="84"/>
      <c r="AK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c r="AI887" s="84"/>
      <c r="AJ887" s="84"/>
      <c r="AK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c r="AI888" s="84"/>
      <c r="AJ888" s="84"/>
      <c r="AK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c r="AI889" s="84"/>
      <c r="AJ889" s="84"/>
      <c r="AK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c r="AI890" s="84"/>
      <c r="AJ890" s="84"/>
      <c r="AK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c r="AI891" s="84"/>
      <c r="AJ891" s="84"/>
      <c r="AK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c r="AI892" s="84"/>
      <c r="AJ892" s="84"/>
      <c r="AK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c r="AI893" s="84"/>
      <c r="AJ893" s="84"/>
      <c r="AK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c r="AI894" s="84"/>
      <c r="AJ894" s="84"/>
      <c r="AK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c r="AI895" s="84"/>
      <c r="AJ895" s="84"/>
      <c r="AK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c r="AI896" s="84"/>
      <c r="AJ896" s="84"/>
      <c r="AK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c r="AI897" s="84"/>
      <c r="AJ897" s="84"/>
      <c r="AK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c r="AI898" s="84"/>
      <c r="AJ898" s="84"/>
      <c r="AK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c r="AI899" s="84"/>
      <c r="AJ899" s="84"/>
      <c r="AK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c r="AI900" s="84"/>
      <c r="AJ900" s="84"/>
      <c r="AK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c r="AI901" s="84"/>
      <c r="AJ901" s="84"/>
      <c r="AK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c r="AI902" s="84"/>
      <c r="AJ902" s="84"/>
      <c r="AK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c r="AI903" s="84"/>
      <c r="AJ903" s="84"/>
      <c r="AK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c r="AI904" s="84"/>
      <c r="AJ904" s="84"/>
      <c r="AK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c r="AI905" s="84"/>
      <c r="AJ905" s="84"/>
      <c r="AK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c r="AI906" s="84"/>
      <c r="AJ906" s="84"/>
      <c r="AK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c r="AI907" s="84"/>
      <c r="AJ907" s="84"/>
      <c r="AK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c r="AI908" s="84"/>
      <c r="AJ908" s="84"/>
      <c r="AK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c r="AI909" s="84"/>
      <c r="AJ909" s="84"/>
      <c r="AK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c r="AI910" s="84"/>
      <c r="AJ910" s="84"/>
      <c r="AK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c r="AI911" s="84"/>
      <c r="AJ911" s="84"/>
      <c r="AK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c r="AI912" s="84"/>
      <c r="AJ912" s="84"/>
      <c r="AK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c r="AI913" s="84"/>
      <c r="AJ913" s="84"/>
      <c r="AK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c r="AI914" s="84"/>
      <c r="AJ914" s="84"/>
      <c r="AK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c r="AI915" s="84"/>
      <c r="AJ915" s="84"/>
      <c r="AK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c r="AI916" s="84"/>
      <c r="AJ916" s="84"/>
      <c r="AK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c r="AI917" s="84"/>
      <c r="AJ917" s="84"/>
      <c r="AK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c r="AI918" s="84"/>
      <c r="AJ918" s="84"/>
      <c r="AK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c r="AI919" s="84"/>
      <c r="AJ919" s="84"/>
      <c r="AK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c r="AI920" s="84"/>
      <c r="AJ920" s="84"/>
      <c r="AK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c r="AI921" s="84"/>
      <c r="AJ921" s="84"/>
      <c r="AK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c r="AI922" s="84"/>
      <c r="AJ922" s="84"/>
      <c r="AK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c r="AI923" s="84"/>
      <c r="AJ923" s="84"/>
      <c r="AK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c r="AI924" s="84"/>
      <c r="AJ924" s="84"/>
      <c r="AK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c r="AI925" s="84"/>
      <c r="AJ925" s="84"/>
      <c r="AK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c r="AI926" s="84"/>
      <c r="AJ926" s="84"/>
      <c r="AK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c r="AI927" s="84"/>
      <c r="AJ927" s="84"/>
      <c r="AK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c r="AI928" s="84"/>
      <c r="AJ928" s="84"/>
      <c r="AK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c r="AI929" s="84"/>
      <c r="AJ929" s="84"/>
      <c r="AK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c r="AI930" s="84"/>
      <c r="AJ930" s="84"/>
      <c r="AK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c r="AI931" s="84"/>
      <c r="AJ931" s="84"/>
      <c r="AK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c r="AI932" s="84"/>
      <c r="AJ932" s="84"/>
      <c r="AK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84"/>
      <c r="AB933" s="84"/>
      <c r="AC933" s="84"/>
      <c r="AD933" s="84"/>
      <c r="AE933" s="84"/>
      <c r="AF933" s="84"/>
      <c r="AG933" s="84"/>
      <c r="AH933" s="84"/>
      <c r="AI933" s="84"/>
      <c r="AJ933" s="84"/>
      <c r="AK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84"/>
      <c r="AB934" s="84"/>
      <c r="AC934" s="84"/>
      <c r="AD934" s="84"/>
      <c r="AE934" s="84"/>
      <c r="AF934" s="84"/>
      <c r="AG934" s="84"/>
      <c r="AH934" s="84"/>
      <c r="AI934" s="84"/>
      <c r="AJ934" s="84"/>
      <c r="AK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84"/>
      <c r="AB935" s="84"/>
      <c r="AC935" s="84"/>
      <c r="AD935" s="84"/>
      <c r="AE935" s="84"/>
      <c r="AF935" s="84"/>
      <c r="AG935" s="84"/>
      <c r="AH935" s="84"/>
      <c r="AI935" s="84"/>
      <c r="AJ935" s="84"/>
      <c r="AK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84"/>
      <c r="AB936" s="84"/>
      <c r="AC936" s="84"/>
      <c r="AD936" s="84"/>
      <c r="AE936" s="84"/>
      <c r="AF936" s="84"/>
      <c r="AG936" s="84"/>
      <c r="AH936" s="84"/>
      <c r="AI936" s="84"/>
      <c r="AJ936" s="84"/>
      <c r="AK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84"/>
      <c r="AB937" s="84"/>
      <c r="AC937" s="84"/>
      <c r="AD937" s="84"/>
      <c r="AE937" s="84"/>
      <c r="AF937" s="84"/>
      <c r="AG937" s="84"/>
      <c r="AH937" s="84"/>
      <c r="AI937" s="84"/>
      <c r="AJ937" s="84"/>
      <c r="AK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84"/>
      <c r="AB938" s="84"/>
      <c r="AC938" s="84"/>
      <c r="AD938" s="84"/>
      <c r="AE938" s="84"/>
      <c r="AF938" s="84"/>
      <c r="AG938" s="84"/>
      <c r="AH938" s="84"/>
      <c r="AI938" s="84"/>
      <c r="AJ938" s="84"/>
      <c r="AK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84"/>
      <c r="AB939" s="84"/>
      <c r="AC939" s="84"/>
      <c r="AD939" s="84"/>
      <c r="AE939" s="84"/>
      <c r="AF939" s="84"/>
      <c r="AG939" s="84"/>
      <c r="AH939" s="84"/>
      <c r="AI939" s="84"/>
      <c r="AJ939" s="84"/>
      <c r="AK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84"/>
      <c r="AB940" s="84"/>
      <c r="AC940" s="84"/>
      <c r="AD940" s="84"/>
      <c r="AE940" s="84"/>
      <c r="AF940" s="84"/>
      <c r="AG940" s="84"/>
      <c r="AH940" s="84"/>
      <c r="AI940" s="84"/>
      <c r="AJ940" s="84"/>
      <c r="AK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84"/>
      <c r="AB941" s="84"/>
      <c r="AC941" s="84"/>
      <c r="AD941" s="84"/>
      <c r="AE941" s="84"/>
      <c r="AF941" s="84"/>
      <c r="AG941" s="84"/>
      <c r="AH941" s="84"/>
      <c r="AI941" s="84"/>
      <c r="AJ941" s="84"/>
      <c r="AK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84"/>
      <c r="AB942" s="84"/>
      <c r="AC942" s="84"/>
      <c r="AD942" s="84"/>
      <c r="AE942" s="84"/>
      <c r="AF942" s="84"/>
      <c r="AG942" s="84"/>
      <c r="AH942" s="84"/>
      <c r="AI942" s="84"/>
      <c r="AJ942" s="84"/>
      <c r="AK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84"/>
      <c r="AB943" s="84"/>
      <c r="AC943" s="84"/>
      <c r="AD943" s="84"/>
      <c r="AE943" s="84"/>
      <c r="AF943" s="84"/>
      <c r="AG943" s="84"/>
      <c r="AH943" s="84"/>
      <c r="AI943" s="84"/>
      <c r="AJ943" s="84"/>
      <c r="AK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84"/>
      <c r="AB944" s="84"/>
      <c r="AC944" s="84"/>
      <c r="AD944" s="84"/>
      <c r="AE944" s="84"/>
      <c r="AF944" s="84"/>
      <c r="AG944" s="84"/>
      <c r="AH944" s="84"/>
      <c r="AI944" s="84"/>
      <c r="AJ944" s="84"/>
      <c r="AK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84"/>
      <c r="AB945" s="84"/>
      <c r="AC945" s="84"/>
      <c r="AD945" s="84"/>
      <c r="AE945" s="84"/>
      <c r="AF945" s="84"/>
      <c r="AG945" s="84"/>
      <c r="AH945" s="84"/>
      <c r="AI945" s="84"/>
      <c r="AJ945" s="84"/>
      <c r="AK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84"/>
      <c r="AB946" s="84"/>
      <c r="AC946" s="84"/>
      <c r="AD946" s="84"/>
      <c r="AE946" s="84"/>
      <c r="AF946" s="84"/>
      <c r="AG946" s="84"/>
      <c r="AH946" s="84"/>
      <c r="AI946" s="84"/>
      <c r="AJ946" s="84"/>
      <c r="AK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84"/>
      <c r="AB947" s="84"/>
      <c r="AC947" s="84"/>
      <c r="AD947" s="84"/>
      <c r="AE947" s="84"/>
      <c r="AF947" s="84"/>
      <c r="AG947" s="84"/>
      <c r="AH947" s="84"/>
      <c r="AI947" s="84"/>
      <c r="AJ947" s="84"/>
      <c r="AK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84"/>
      <c r="AB948" s="84"/>
      <c r="AC948" s="84"/>
      <c r="AD948" s="84"/>
      <c r="AE948" s="84"/>
      <c r="AF948" s="84"/>
      <c r="AG948" s="84"/>
      <c r="AH948" s="84"/>
      <c r="AI948" s="84"/>
      <c r="AJ948" s="84"/>
      <c r="AK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84"/>
      <c r="AB949" s="84"/>
      <c r="AC949" s="84"/>
      <c r="AD949" s="84"/>
      <c r="AE949" s="84"/>
      <c r="AF949" s="84"/>
      <c r="AG949" s="84"/>
      <c r="AH949" s="84"/>
      <c r="AI949" s="84"/>
      <c r="AJ949" s="84"/>
      <c r="AK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84"/>
      <c r="AB950" s="84"/>
      <c r="AC950" s="84"/>
      <c r="AD950" s="84"/>
      <c r="AE950" s="84"/>
      <c r="AF950" s="84"/>
      <c r="AG950" s="84"/>
      <c r="AH950" s="84"/>
      <c r="AI950" s="84"/>
      <c r="AJ950" s="84"/>
      <c r="AK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c r="AA951" s="84"/>
      <c r="AB951" s="84"/>
      <c r="AC951" s="84"/>
      <c r="AD951" s="84"/>
      <c r="AE951" s="84"/>
      <c r="AF951" s="84"/>
      <c r="AG951" s="84"/>
      <c r="AH951" s="84"/>
      <c r="AI951" s="84"/>
      <c r="AJ951" s="84"/>
      <c r="AK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c r="AA952" s="84"/>
      <c r="AB952" s="84"/>
      <c r="AC952" s="84"/>
      <c r="AD952" s="84"/>
      <c r="AE952" s="84"/>
      <c r="AF952" s="84"/>
      <c r="AG952" s="84"/>
      <c r="AH952" s="84"/>
      <c r="AI952" s="84"/>
      <c r="AJ952" s="84"/>
      <c r="AK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c r="AA953" s="84"/>
      <c r="AB953" s="84"/>
      <c r="AC953" s="84"/>
      <c r="AD953" s="84"/>
      <c r="AE953" s="84"/>
      <c r="AF953" s="84"/>
      <c r="AG953" s="84"/>
      <c r="AH953" s="84"/>
      <c r="AI953" s="84"/>
      <c r="AJ953" s="84"/>
      <c r="AK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c r="AA954" s="84"/>
      <c r="AB954" s="84"/>
      <c r="AC954" s="84"/>
      <c r="AD954" s="84"/>
      <c r="AE954" s="84"/>
      <c r="AF954" s="84"/>
      <c r="AG954" s="84"/>
      <c r="AH954" s="84"/>
      <c r="AI954" s="84"/>
      <c r="AJ954" s="84"/>
      <c r="AK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c r="AA955" s="84"/>
      <c r="AB955" s="84"/>
      <c r="AC955" s="84"/>
      <c r="AD955" s="84"/>
      <c r="AE955" s="84"/>
      <c r="AF955" s="84"/>
      <c r="AG955" s="84"/>
      <c r="AH955" s="84"/>
      <c r="AI955" s="84"/>
      <c r="AJ955" s="84"/>
      <c r="AK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c r="AA956" s="84"/>
      <c r="AB956" s="84"/>
      <c r="AC956" s="84"/>
      <c r="AD956" s="84"/>
      <c r="AE956" s="84"/>
      <c r="AF956" s="84"/>
      <c r="AG956" s="84"/>
      <c r="AH956" s="84"/>
      <c r="AI956" s="84"/>
      <c r="AJ956" s="84"/>
      <c r="AK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c r="AA957" s="84"/>
      <c r="AB957" s="84"/>
      <c r="AC957" s="84"/>
      <c r="AD957" s="84"/>
      <c r="AE957" s="84"/>
      <c r="AF957" s="84"/>
      <c r="AG957" s="84"/>
      <c r="AH957" s="84"/>
      <c r="AI957" s="84"/>
      <c r="AJ957" s="84"/>
      <c r="AK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c r="AA958" s="84"/>
      <c r="AB958" s="84"/>
      <c r="AC958" s="84"/>
      <c r="AD958" s="84"/>
      <c r="AE958" s="84"/>
      <c r="AF958" s="84"/>
      <c r="AG958" s="84"/>
      <c r="AH958" s="84"/>
      <c r="AI958" s="84"/>
      <c r="AJ958" s="84"/>
      <c r="AK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c r="AA959" s="84"/>
      <c r="AB959" s="84"/>
      <c r="AC959" s="84"/>
      <c r="AD959" s="84"/>
      <c r="AE959" s="84"/>
      <c r="AF959" s="84"/>
      <c r="AG959" s="84"/>
      <c r="AH959" s="84"/>
      <c r="AI959" s="84"/>
      <c r="AJ959" s="84"/>
      <c r="AK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c r="AA960" s="84"/>
      <c r="AB960" s="84"/>
      <c r="AC960" s="84"/>
      <c r="AD960" s="84"/>
      <c r="AE960" s="84"/>
      <c r="AF960" s="84"/>
      <c r="AG960" s="84"/>
      <c r="AH960" s="84"/>
      <c r="AI960" s="84"/>
      <c r="AJ960" s="84"/>
      <c r="AK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c r="AA961" s="84"/>
      <c r="AB961" s="84"/>
      <c r="AC961" s="84"/>
      <c r="AD961" s="84"/>
      <c r="AE961" s="84"/>
      <c r="AF961" s="84"/>
      <c r="AG961" s="84"/>
      <c r="AH961" s="84"/>
      <c r="AI961" s="84"/>
      <c r="AJ961" s="84"/>
      <c r="AK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c r="AA962" s="84"/>
      <c r="AB962" s="84"/>
      <c r="AC962" s="84"/>
      <c r="AD962" s="84"/>
      <c r="AE962" s="84"/>
      <c r="AF962" s="84"/>
      <c r="AG962" s="84"/>
      <c r="AH962" s="84"/>
      <c r="AI962" s="84"/>
      <c r="AJ962" s="84"/>
      <c r="AK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c r="AA963" s="84"/>
      <c r="AB963" s="84"/>
      <c r="AC963" s="84"/>
      <c r="AD963" s="84"/>
      <c r="AE963" s="84"/>
      <c r="AF963" s="84"/>
      <c r="AG963" s="84"/>
      <c r="AH963" s="84"/>
      <c r="AI963" s="84"/>
      <c r="AJ963" s="84"/>
      <c r="AK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c r="AA964" s="84"/>
      <c r="AB964" s="84"/>
      <c r="AC964" s="84"/>
      <c r="AD964" s="84"/>
      <c r="AE964" s="84"/>
      <c r="AF964" s="84"/>
      <c r="AG964" s="84"/>
      <c r="AH964" s="84"/>
      <c r="AI964" s="84"/>
      <c r="AJ964" s="84"/>
      <c r="AK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c r="AA965" s="84"/>
      <c r="AB965" s="84"/>
      <c r="AC965" s="84"/>
      <c r="AD965" s="84"/>
      <c r="AE965" s="84"/>
      <c r="AF965" s="84"/>
      <c r="AG965" s="84"/>
      <c r="AH965" s="84"/>
      <c r="AI965" s="84"/>
      <c r="AJ965" s="84"/>
      <c r="AK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c r="AA966" s="84"/>
      <c r="AB966" s="84"/>
      <c r="AC966" s="84"/>
      <c r="AD966" s="84"/>
      <c r="AE966" s="84"/>
      <c r="AF966" s="84"/>
      <c r="AG966" s="84"/>
      <c r="AH966" s="84"/>
      <c r="AI966" s="84"/>
      <c r="AJ966" s="84"/>
      <c r="AK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c r="AA967" s="84"/>
      <c r="AB967" s="84"/>
      <c r="AC967" s="84"/>
      <c r="AD967" s="84"/>
      <c r="AE967" s="84"/>
      <c r="AF967" s="84"/>
      <c r="AG967" s="84"/>
      <c r="AH967" s="84"/>
      <c r="AI967" s="84"/>
      <c r="AJ967" s="84"/>
      <c r="AK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c r="AA968" s="84"/>
      <c r="AB968" s="84"/>
      <c r="AC968" s="84"/>
      <c r="AD968" s="84"/>
      <c r="AE968" s="84"/>
      <c r="AF968" s="84"/>
      <c r="AG968" s="84"/>
      <c r="AH968" s="84"/>
      <c r="AI968" s="84"/>
      <c r="AJ968" s="84"/>
      <c r="AK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c r="AA969" s="84"/>
      <c r="AB969" s="84"/>
      <c r="AC969" s="84"/>
      <c r="AD969" s="84"/>
      <c r="AE969" s="84"/>
      <c r="AF969" s="84"/>
      <c r="AG969" s="84"/>
      <c r="AH969" s="84"/>
      <c r="AI969" s="84"/>
      <c r="AJ969" s="84"/>
      <c r="AK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c r="AA970" s="84"/>
      <c r="AB970" s="84"/>
      <c r="AC970" s="84"/>
      <c r="AD970" s="84"/>
      <c r="AE970" s="84"/>
      <c r="AF970" s="84"/>
      <c r="AG970" s="84"/>
      <c r="AH970" s="84"/>
      <c r="AI970" s="84"/>
      <c r="AJ970" s="84"/>
      <c r="AK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c r="AA971" s="84"/>
      <c r="AB971" s="84"/>
      <c r="AC971" s="84"/>
      <c r="AD971" s="84"/>
      <c r="AE971" s="84"/>
      <c r="AF971" s="84"/>
      <c r="AG971" s="84"/>
      <c r="AH971" s="84"/>
      <c r="AI971" s="84"/>
      <c r="AJ971" s="84"/>
      <c r="AK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c r="AA972" s="84"/>
      <c r="AB972" s="84"/>
      <c r="AC972" s="84"/>
      <c r="AD972" s="84"/>
      <c r="AE972" s="84"/>
      <c r="AF972" s="84"/>
      <c r="AG972" s="84"/>
      <c r="AH972" s="84"/>
      <c r="AI972" s="84"/>
      <c r="AJ972" s="84"/>
      <c r="AK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c r="AA973" s="84"/>
      <c r="AB973" s="84"/>
      <c r="AC973" s="84"/>
      <c r="AD973" s="84"/>
      <c r="AE973" s="84"/>
      <c r="AF973" s="84"/>
      <c r="AG973" s="84"/>
      <c r="AH973" s="84"/>
      <c r="AI973" s="84"/>
      <c r="AJ973" s="84"/>
      <c r="AK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c r="AA974" s="84"/>
      <c r="AB974" s="84"/>
      <c r="AC974" s="84"/>
      <c r="AD974" s="84"/>
      <c r="AE974" s="84"/>
      <c r="AF974" s="84"/>
      <c r="AG974" s="84"/>
      <c r="AH974" s="84"/>
      <c r="AI974" s="84"/>
      <c r="AJ974" s="84"/>
      <c r="AK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c r="AA975" s="84"/>
      <c r="AB975" s="84"/>
      <c r="AC975" s="84"/>
      <c r="AD975" s="84"/>
      <c r="AE975" s="84"/>
      <c r="AF975" s="84"/>
      <c r="AG975" s="84"/>
      <c r="AH975" s="84"/>
      <c r="AI975" s="84"/>
      <c r="AJ975" s="84"/>
      <c r="AK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c r="AA976" s="84"/>
      <c r="AB976" s="84"/>
      <c r="AC976" s="84"/>
      <c r="AD976" s="84"/>
      <c r="AE976" s="84"/>
      <c r="AF976" s="84"/>
      <c r="AG976" s="84"/>
      <c r="AH976" s="84"/>
      <c r="AI976" s="84"/>
      <c r="AJ976" s="84"/>
      <c r="AK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c r="AA977" s="84"/>
      <c r="AB977" s="84"/>
      <c r="AC977" s="84"/>
      <c r="AD977" s="84"/>
      <c r="AE977" s="84"/>
      <c r="AF977" s="84"/>
      <c r="AG977" s="84"/>
      <c r="AH977" s="84"/>
      <c r="AI977" s="84"/>
      <c r="AJ977" s="84"/>
      <c r="AK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c r="AA978" s="84"/>
      <c r="AB978" s="84"/>
      <c r="AC978" s="84"/>
      <c r="AD978" s="84"/>
      <c r="AE978" s="84"/>
      <c r="AF978" s="84"/>
      <c r="AG978" s="84"/>
      <c r="AH978" s="84"/>
      <c r="AI978" s="84"/>
      <c r="AJ978" s="84"/>
      <c r="AK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c r="AA979" s="84"/>
      <c r="AB979" s="84"/>
      <c r="AC979" s="84"/>
      <c r="AD979" s="84"/>
      <c r="AE979" s="84"/>
      <c r="AF979" s="84"/>
      <c r="AG979" s="84"/>
      <c r="AH979" s="84"/>
      <c r="AI979" s="84"/>
      <c r="AJ979" s="84"/>
      <c r="AK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c r="AA980" s="84"/>
      <c r="AB980" s="84"/>
      <c r="AC980" s="84"/>
      <c r="AD980" s="84"/>
      <c r="AE980" s="84"/>
      <c r="AF980" s="84"/>
      <c r="AG980" s="84"/>
      <c r="AH980" s="84"/>
      <c r="AI980" s="84"/>
      <c r="AJ980" s="84"/>
      <c r="AK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c r="AA981" s="84"/>
      <c r="AB981" s="84"/>
      <c r="AC981" s="84"/>
      <c r="AD981" s="84"/>
      <c r="AE981" s="84"/>
      <c r="AF981" s="84"/>
      <c r="AG981" s="84"/>
      <c r="AH981" s="84"/>
      <c r="AI981" s="84"/>
      <c r="AJ981" s="84"/>
      <c r="AK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c r="AA982" s="84"/>
      <c r="AB982" s="84"/>
      <c r="AC982" s="84"/>
      <c r="AD982" s="84"/>
      <c r="AE982" s="84"/>
      <c r="AF982" s="84"/>
      <c r="AG982" s="84"/>
      <c r="AH982" s="84"/>
      <c r="AI982" s="84"/>
      <c r="AJ982" s="84"/>
      <c r="AK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c r="AA983" s="84"/>
      <c r="AB983" s="84"/>
      <c r="AC983" s="84"/>
      <c r="AD983" s="84"/>
      <c r="AE983" s="84"/>
      <c r="AF983" s="84"/>
      <c r="AG983" s="84"/>
      <c r="AH983" s="84"/>
      <c r="AI983" s="84"/>
      <c r="AJ983" s="84"/>
      <c r="AK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c r="AA984" s="84"/>
      <c r="AB984" s="84"/>
      <c r="AC984" s="84"/>
      <c r="AD984" s="84"/>
      <c r="AE984" s="84"/>
      <c r="AF984" s="84"/>
      <c r="AG984" s="84"/>
      <c r="AH984" s="84"/>
      <c r="AI984" s="84"/>
      <c r="AJ984" s="84"/>
      <c r="AK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c r="AA985" s="84"/>
      <c r="AB985" s="84"/>
      <c r="AC985" s="84"/>
      <c r="AD985" s="84"/>
      <c r="AE985" s="84"/>
      <c r="AF985" s="84"/>
      <c r="AG985" s="84"/>
      <c r="AH985" s="84"/>
      <c r="AI985" s="84"/>
      <c r="AJ985" s="84"/>
      <c r="AK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c r="AA986" s="84"/>
      <c r="AB986" s="84"/>
      <c r="AC986" s="84"/>
      <c r="AD986" s="84"/>
      <c r="AE986" s="84"/>
      <c r="AF986" s="84"/>
      <c r="AG986" s="84"/>
      <c r="AH986" s="84"/>
      <c r="AI986" s="84"/>
      <c r="AJ986" s="84"/>
      <c r="AK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c r="AA987" s="84"/>
      <c r="AB987" s="84"/>
      <c r="AC987" s="84"/>
      <c r="AD987" s="84"/>
      <c r="AE987" s="84"/>
      <c r="AF987" s="84"/>
      <c r="AG987" s="84"/>
      <c r="AH987" s="84"/>
      <c r="AI987" s="84"/>
      <c r="AJ987" s="84"/>
      <c r="AK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c r="AA988" s="84"/>
      <c r="AB988" s="84"/>
      <c r="AC988" s="84"/>
      <c r="AD988" s="84"/>
      <c r="AE988" s="84"/>
      <c r="AF988" s="84"/>
      <c r="AG988" s="84"/>
      <c r="AH988" s="84"/>
      <c r="AI988" s="84"/>
      <c r="AJ988" s="84"/>
      <c r="AK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c r="AA989" s="84"/>
      <c r="AB989" s="84"/>
      <c r="AC989" s="84"/>
      <c r="AD989" s="84"/>
      <c r="AE989" s="84"/>
      <c r="AF989" s="84"/>
      <c r="AG989" s="84"/>
      <c r="AH989" s="84"/>
      <c r="AI989" s="84"/>
      <c r="AJ989" s="84"/>
      <c r="AK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c r="AA990" s="84"/>
      <c r="AB990" s="84"/>
      <c r="AC990" s="84"/>
      <c r="AD990" s="84"/>
      <c r="AE990" s="84"/>
      <c r="AF990" s="84"/>
      <c r="AG990" s="84"/>
      <c r="AH990" s="84"/>
      <c r="AI990" s="84"/>
      <c r="AJ990" s="84"/>
      <c r="AK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c r="AA991" s="84"/>
      <c r="AB991" s="84"/>
      <c r="AC991" s="84"/>
      <c r="AD991" s="84"/>
      <c r="AE991" s="84"/>
      <c r="AF991" s="84"/>
      <c r="AG991" s="84"/>
      <c r="AH991" s="84"/>
      <c r="AI991" s="84"/>
      <c r="AJ991" s="84"/>
      <c r="AK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c r="AA992" s="84"/>
      <c r="AB992" s="84"/>
      <c r="AC992" s="84"/>
      <c r="AD992" s="84"/>
      <c r="AE992" s="84"/>
      <c r="AF992" s="84"/>
      <c r="AG992" s="84"/>
      <c r="AH992" s="84"/>
      <c r="AI992" s="84"/>
      <c r="AJ992" s="84"/>
      <c r="AK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c r="AA993" s="84"/>
      <c r="AB993" s="84"/>
      <c r="AC993" s="84"/>
      <c r="AD993" s="84"/>
      <c r="AE993" s="84"/>
      <c r="AF993" s="84"/>
      <c r="AG993" s="84"/>
      <c r="AH993" s="84"/>
      <c r="AI993" s="84"/>
      <c r="AJ993" s="84"/>
      <c r="AK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c r="AA994" s="84"/>
      <c r="AB994" s="84"/>
      <c r="AC994" s="84"/>
      <c r="AD994" s="84"/>
      <c r="AE994" s="84"/>
      <c r="AF994" s="84"/>
      <c r="AG994" s="84"/>
      <c r="AH994" s="84"/>
      <c r="AI994" s="84"/>
      <c r="AJ994" s="84"/>
      <c r="AK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c r="AA995" s="84"/>
      <c r="AB995" s="84"/>
      <c r="AC995" s="84"/>
      <c r="AD995" s="84"/>
      <c r="AE995" s="84"/>
      <c r="AF995" s="84"/>
      <c r="AG995" s="84"/>
      <c r="AH995" s="84"/>
      <c r="AI995" s="84"/>
      <c r="AJ995" s="84"/>
      <c r="AK995" s="84"/>
    </row>
    <row r="996">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c r="AA996" s="84"/>
      <c r="AB996" s="84"/>
      <c r="AC996" s="84"/>
      <c r="AD996" s="84"/>
      <c r="AE996" s="84"/>
      <c r="AF996" s="84"/>
      <c r="AG996" s="84"/>
      <c r="AH996" s="84"/>
      <c r="AI996" s="84"/>
      <c r="AJ996" s="84"/>
      <c r="AK996" s="84"/>
    </row>
    <row r="997">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c r="AA997" s="84"/>
      <c r="AB997" s="84"/>
      <c r="AC997" s="84"/>
      <c r="AD997" s="84"/>
      <c r="AE997" s="84"/>
      <c r="AF997" s="84"/>
      <c r="AG997" s="84"/>
      <c r="AH997" s="84"/>
      <c r="AI997" s="84"/>
      <c r="AJ997" s="84"/>
      <c r="AK997" s="84"/>
    </row>
    <row r="998">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c r="AA998" s="84"/>
      <c r="AB998" s="84"/>
      <c r="AC998" s="84"/>
      <c r="AD998" s="84"/>
      <c r="AE998" s="84"/>
      <c r="AF998" s="84"/>
      <c r="AG998" s="84"/>
      <c r="AH998" s="84"/>
      <c r="AI998" s="84"/>
      <c r="AJ998" s="84"/>
      <c r="AK998" s="84"/>
    </row>
    <row r="999">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c r="AA999" s="84"/>
      <c r="AB999" s="84"/>
      <c r="AC999" s="84"/>
      <c r="AD999" s="84"/>
      <c r="AE999" s="84"/>
      <c r="AF999" s="84"/>
      <c r="AG999" s="84"/>
      <c r="AH999" s="84"/>
      <c r="AI999" s="84"/>
      <c r="AJ999" s="84"/>
      <c r="AK999" s="84"/>
    </row>
    <row r="1000">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c r="AA1000" s="84"/>
      <c r="AB1000" s="84"/>
      <c r="AC1000" s="84"/>
      <c r="AD1000" s="84"/>
      <c r="AE1000" s="84"/>
      <c r="AF1000" s="84"/>
      <c r="AG1000" s="84"/>
      <c r="AH1000" s="84"/>
      <c r="AI1000" s="84"/>
      <c r="AJ1000" s="84"/>
      <c r="AK1000" s="84"/>
    </row>
    <row r="1001">
      <c r="A1001" s="84"/>
      <c r="B1001" s="84"/>
      <c r="C1001" s="84"/>
      <c r="D1001" s="84"/>
      <c r="E1001" s="84"/>
      <c r="F1001" s="84"/>
      <c r="G1001" s="84"/>
      <c r="H1001" s="84"/>
      <c r="I1001" s="84"/>
      <c r="J1001" s="84"/>
      <c r="K1001" s="84"/>
      <c r="L1001" s="84"/>
      <c r="M1001" s="84"/>
      <c r="N1001" s="84"/>
      <c r="O1001" s="84"/>
      <c r="P1001" s="84"/>
      <c r="Q1001" s="84"/>
      <c r="R1001" s="84"/>
      <c r="S1001" s="84"/>
      <c r="T1001" s="84"/>
      <c r="U1001" s="84"/>
      <c r="V1001" s="84"/>
      <c r="W1001" s="84"/>
      <c r="X1001" s="84"/>
      <c r="Y1001" s="84"/>
      <c r="Z1001" s="84"/>
      <c r="AA1001" s="84"/>
      <c r="AB1001" s="84"/>
      <c r="AC1001" s="84"/>
      <c r="AD1001" s="84"/>
      <c r="AE1001" s="84"/>
      <c r="AF1001" s="84"/>
      <c r="AG1001" s="84"/>
      <c r="AH1001" s="84"/>
      <c r="AI1001" s="84"/>
      <c r="AJ1001" s="84"/>
      <c r="AK1001" s="84"/>
    </row>
    <row r="1002">
      <c r="A1002" s="84"/>
      <c r="B1002" s="84"/>
      <c r="C1002" s="84"/>
      <c r="D1002" s="84"/>
      <c r="E1002" s="84"/>
      <c r="F1002" s="84"/>
      <c r="G1002" s="84"/>
      <c r="H1002" s="84"/>
      <c r="I1002" s="84"/>
      <c r="J1002" s="84"/>
      <c r="K1002" s="84"/>
      <c r="L1002" s="84"/>
      <c r="M1002" s="84"/>
      <c r="N1002" s="84"/>
      <c r="O1002" s="84"/>
      <c r="P1002" s="84"/>
      <c r="Q1002" s="84"/>
      <c r="R1002" s="84"/>
      <c r="S1002" s="84"/>
      <c r="T1002" s="84"/>
      <c r="U1002" s="84"/>
      <c r="V1002" s="84"/>
      <c r="W1002" s="84"/>
      <c r="X1002" s="84"/>
      <c r="Y1002" s="84"/>
      <c r="Z1002" s="84"/>
      <c r="AA1002" s="84"/>
      <c r="AB1002" s="84"/>
      <c r="AC1002" s="84"/>
      <c r="AD1002" s="84"/>
      <c r="AE1002" s="84"/>
      <c r="AF1002" s="84"/>
      <c r="AG1002" s="84"/>
      <c r="AH1002" s="84"/>
      <c r="AI1002" s="84"/>
      <c r="AJ1002" s="84"/>
      <c r="AK1002" s="84"/>
    </row>
    <row r="1003">
      <c r="A1003" s="84"/>
      <c r="B1003" s="84"/>
      <c r="C1003" s="84"/>
      <c r="D1003" s="84"/>
      <c r="E1003" s="84"/>
      <c r="F1003" s="84"/>
      <c r="G1003" s="84"/>
      <c r="H1003" s="84"/>
      <c r="I1003" s="84"/>
      <c r="J1003" s="84"/>
      <c r="K1003" s="84"/>
      <c r="L1003" s="84"/>
      <c r="M1003" s="84"/>
      <c r="N1003" s="84"/>
      <c r="O1003" s="84"/>
      <c r="P1003" s="84"/>
      <c r="Q1003" s="84"/>
      <c r="R1003" s="84"/>
      <c r="S1003" s="84"/>
      <c r="T1003" s="84"/>
      <c r="U1003" s="84"/>
      <c r="V1003" s="84"/>
      <c r="W1003" s="84"/>
      <c r="X1003" s="84"/>
      <c r="Y1003" s="84"/>
      <c r="Z1003" s="84"/>
      <c r="AA1003" s="84"/>
      <c r="AB1003" s="84"/>
      <c r="AC1003" s="84"/>
      <c r="AD1003" s="84"/>
      <c r="AE1003" s="84"/>
      <c r="AF1003" s="84"/>
      <c r="AG1003" s="84"/>
      <c r="AH1003" s="84"/>
      <c r="AI1003" s="84"/>
      <c r="AJ1003" s="84"/>
      <c r="AK1003" s="84"/>
    </row>
  </sheetData>
  <mergeCells count="29">
    <mergeCell ref="A4:A5"/>
    <mergeCell ref="B4:B5"/>
    <mergeCell ref="C4:C5"/>
    <mergeCell ref="D4:D5"/>
    <mergeCell ref="E4:E5"/>
    <mergeCell ref="F4:F5"/>
    <mergeCell ref="G4:G5"/>
    <mergeCell ref="H4:H5"/>
    <mergeCell ref="J4:J5"/>
    <mergeCell ref="K4:K5"/>
    <mergeCell ref="L4:L5"/>
    <mergeCell ref="M4:M5"/>
    <mergeCell ref="N4:N5"/>
    <mergeCell ref="O4:O5"/>
    <mergeCell ref="X4:X5"/>
    <mergeCell ref="Y4:Y5"/>
    <mergeCell ref="Z4:Z5"/>
    <mergeCell ref="AA4:AA5"/>
    <mergeCell ref="AB4:AB5"/>
    <mergeCell ref="AC4:AC5"/>
    <mergeCell ref="AD4:AD5"/>
    <mergeCell ref="AE4:AE5"/>
    <mergeCell ref="P4:P5"/>
    <mergeCell ref="Q4:Q5"/>
    <mergeCell ref="R4:R5"/>
    <mergeCell ref="S4:S5"/>
    <mergeCell ref="U4:U5"/>
    <mergeCell ref="V4:V5"/>
    <mergeCell ref="W4:W5"/>
  </mergeCells>
  <conditionalFormatting sqref="H17">
    <cfRule type="notContainsBlanks" dxfId="0" priority="1">
      <formula>LEN(TRIM(H17))&gt;0</formula>
    </cfRule>
  </conditionalFormatting>
  <hyperlinks>
    <hyperlink r:id="rId1" ref="E7"/>
    <hyperlink r:id="rId2" location="2026" ref="E10"/>
    <hyperlink r:id="rId3" ref="E14"/>
    <hyperlink r:id="rId4" ref="E16"/>
    <hyperlink r:id="rId5" ref="Y16"/>
    <hyperlink r:id="rId6" ref="AA16"/>
    <hyperlink r:id="rId7" ref="E18"/>
    <hyperlink r:id="rId8" ref="Y18"/>
    <hyperlink r:id="rId9" ref="AA18"/>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sheetViews>
  <sheetFormatPr customHeight="1" defaultColWidth="12.63" defaultRowHeight="15.75"/>
  <cols>
    <col customWidth="1" min="1" max="1" width="2.13"/>
    <col customWidth="1" min="3" max="3" width="17.75"/>
    <col customWidth="1" min="4" max="4" width="24.38"/>
    <col customWidth="1" min="5" max="5" width="24.75"/>
    <col customWidth="1" min="6" max="6" width="20.25"/>
    <col customWidth="1" min="7" max="7" width="16.0"/>
    <col customWidth="1" min="8" max="8" width="17.13"/>
  </cols>
  <sheetData>
    <row r="1" ht="6.75" customHeight="1">
      <c r="A1" s="3"/>
      <c r="B1" s="172"/>
      <c r="C1" s="1"/>
      <c r="D1" s="1"/>
      <c r="E1" s="1"/>
      <c r="F1" s="1"/>
      <c r="G1" s="1"/>
      <c r="H1" s="1"/>
      <c r="I1" s="1"/>
      <c r="J1" s="1"/>
      <c r="K1" s="1"/>
      <c r="L1" s="1"/>
      <c r="M1" s="1"/>
      <c r="N1" s="1"/>
      <c r="O1" s="2"/>
      <c r="P1" s="1"/>
      <c r="Q1" s="1"/>
      <c r="R1" s="1"/>
      <c r="S1" s="173"/>
      <c r="T1" s="1"/>
      <c r="U1" s="1"/>
      <c r="V1" s="1"/>
      <c r="W1" s="1"/>
      <c r="X1" s="1"/>
      <c r="Y1" s="1"/>
      <c r="Z1" s="1"/>
      <c r="AA1" s="1"/>
    </row>
    <row r="2">
      <c r="A2" s="1"/>
      <c r="B2" s="174" t="s">
        <v>163</v>
      </c>
      <c r="C2" s="175"/>
      <c r="D2" s="176"/>
      <c r="E2" s="1"/>
      <c r="F2" s="1"/>
      <c r="G2" s="1"/>
      <c r="H2" s="1"/>
      <c r="I2" s="1"/>
      <c r="J2" s="1"/>
      <c r="K2" s="1"/>
      <c r="L2" s="1"/>
      <c r="M2" s="1"/>
      <c r="N2" s="1"/>
      <c r="O2" s="2"/>
      <c r="P2" s="1"/>
      <c r="Q2" s="1"/>
      <c r="R2" s="1"/>
      <c r="S2" s="173"/>
      <c r="T2" s="1"/>
      <c r="U2" s="1"/>
      <c r="V2" s="1"/>
      <c r="W2" s="1"/>
      <c r="X2" s="1"/>
      <c r="Y2" s="1"/>
      <c r="Z2" s="1"/>
      <c r="AA2" s="1"/>
    </row>
    <row r="3">
      <c r="A3" s="1"/>
      <c r="B3" s="177" t="s">
        <v>164</v>
      </c>
      <c r="C3" s="178">
        <v>1.0</v>
      </c>
      <c r="D3" s="179" t="s">
        <v>165</v>
      </c>
      <c r="E3" s="1"/>
      <c r="F3" s="1"/>
      <c r="G3" s="3"/>
      <c r="H3" s="3"/>
      <c r="I3" s="1"/>
      <c r="J3" s="1"/>
      <c r="K3" s="1"/>
      <c r="L3" s="1"/>
      <c r="M3" s="1"/>
      <c r="N3" s="1"/>
      <c r="O3" s="1"/>
      <c r="P3" s="1"/>
      <c r="Q3" s="1"/>
      <c r="R3" s="1"/>
      <c r="S3" s="180"/>
      <c r="T3" s="1"/>
      <c r="U3" s="1"/>
      <c r="V3" s="1"/>
      <c r="W3" s="1"/>
      <c r="X3" s="1"/>
      <c r="Y3" s="1"/>
      <c r="Z3" s="1"/>
      <c r="AA3" s="1"/>
    </row>
    <row r="4">
      <c r="A4" s="1"/>
      <c r="B4" s="177" t="s">
        <v>164</v>
      </c>
      <c r="C4" s="178">
        <v>2.0</v>
      </c>
      <c r="D4" s="179" t="s">
        <v>166</v>
      </c>
      <c r="E4" s="1"/>
      <c r="F4" s="181"/>
      <c r="G4" s="3"/>
      <c r="H4" s="3"/>
      <c r="I4" s="1"/>
      <c r="J4" s="1"/>
      <c r="K4" s="1"/>
      <c r="L4" s="1"/>
      <c r="M4" s="1"/>
      <c r="N4" s="1"/>
      <c r="O4" s="182"/>
      <c r="P4" s="1"/>
      <c r="Q4" s="1"/>
      <c r="R4" s="1"/>
      <c r="S4" s="180"/>
      <c r="T4" s="183"/>
      <c r="U4" s="1"/>
      <c r="V4" s="1"/>
      <c r="W4" s="1"/>
      <c r="X4" s="1"/>
      <c r="Y4" s="1"/>
      <c r="Z4" s="1"/>
      <c r="AA4" s="1"/>
    </row>
    <row r="5">
      <c r="A5" s="1"/>
      <c r="B5" s="177" t="s">
        <v>167</v>
      </c>
      <c r="C5" s="184">
        <v>1.5</v>
      </c>
      <c r="D5" s="179" t="s">
        <v>168</v>
      </c>
      <c r="E5" s="1"/>
      <c r="F5" s="1"/>
      <c r="G5" s="1"/>
      <c r="H5" s="1"/>
      <c r="I5" s="1"/>
      <c r="J5" s="1"/>
      <c r="K5" s="1"/>
      <c r="L5" s="1"/>
      <c r="M5" s="1"/>
      <c r="N5" s="1"/>
      <c r="O5" s="182"/>
      <c r="P5" s="1"/>
      <c r="Q5" s="1"/>
      <c r="R5" s="1"/>
      <c r="S5" s="180"/>
      <c r="T5" s="183"/>
      <c r="U5" s="1"/>
      <c r="V5" s="1"/>
      <c r="W5" s="1"/>
      <c r="X5" s="1"/>
      <c r="Y5" s="1"/>
      <c r="Z5" s="1"/>
      <c r="AA5" s="1"/>
    </row>
    <row r="6">
      <c r="A6" s="1"/>
      <c r="B6" s="185" t="s">
        <v>169</v>
      </c>
      <c r="C6" s="186">
        <v>0.88</v>
      </c>
      <c r="D6" s="187"/>
      <c r="F6" s="1"/>
      <c r="G6" s="1"/>
      <c r="H6" s="1"/>
      <c r="I6" s="1"/>
      <c r="J6" s="1"/>
      <c r="K6" s="1"/>
      <c r="L6" s="1"/>
      <c r="M6" s="1"/>
      <c r="N6" s="1"/>
      <c r="O6" s="182"/>
      <c r="P6" s="1"/>
      <c r="Q6" s="1"/>
      <c r="R6" s="1"/>
      <c r="S6" s="180"/>
      <c r="T6" s="183"/>
      <c r="U6" s="1"/>
      <c r="V6" s="1"/>
      <c r="W6" s="1"/>
      <c r="X6" s="1"/>
      <c r="Y6" s="1"/>
      <c r="Z6" s="1"/>
      <c r="AA6" s="1"/>
    </row>
    <row r="7">
      <c r="A7" s="1"/>
      <c r="B7" s="1"/>
      <c r="C7" s="1"/>
      <c r="D7" s="1"/>
      <c r="E7" s="1"/>
      <c r="F7" s="1"/>
      <c r="G7" s="1"/>
      <c r="H7" s="1"/>
      <c r="I7" s="1"/>
      <c r="J7" s="1"/>
      <c r="K7" s="1"/>
      <c r="L7" s="1"/>
      <c r="M7" s="1"/>
      <c r="N7" s="1"/>
      <c r="O7" s="182"/>
      <c r="P7" s="1"/>
      <c r="Q7" s="1"/>
      <c r="R7" s="1"/>
      <c r="S7" s="180"/>
      <c r="T7" s="1"/>
      <c r="U7" s="1"/>
      <c r="V7" s="1"/>
      <c r="W7" s="1"/>
      <c r="X7" s="1"/>
      <c r="Y7" s="1"/>
      <c r="Z7" s="1"/>
      <c r="AA7" s="1"/>
    </row>
    <row r="8">
      <c r="A8" s="1"/>
      <c r="B8" s="188" t="s">
        <v>170</v>
      </c>
      <c r="C8" s="189"/>
      <c r="D8" s="1"/>
      <c r="E8" s="1"/>
      <c r="F8" s="1"/>
      <c r="G8" s="1"/>
      <c r="H8" s="1"/>
      <c r="I8" s="1"/>
      <c r="J8" s="1"/>
      <c r="K8" s="1"/>
      <c r="L8" s="1"/>
      <c r="M8" s="1"/>
      <c r="N8" s="1"/>
      <c r="O8" s="182"/>
      <c r="P8" s="1"/>
      <c r="Q8" s="1"/>
      <c r="R8" s="1"/>
      <c r="S8" s="180"/>
      <c r="T8" s="1"/>
      <c r="U8" s="1"/>
      <c r="V8" s="1"/>
      <c r="W8" s="1"/>
      <c r="X8" s="1"/>
      <c r="Y8" s="1"/>
      <c r="Z8" s="1"/>
      <c r="AA8" s="1"/>
    </row>
    <row r="9">
      <c r="A9" s="1"/>
      <c r="B9" s="190" t="s">
        <v>171</v>
      </c>
      <c r="C9" s="191" t="s">
        <v>172</v>
      </c>
      <c r="D9" s="191" t="s">
        <v>173</v>
      </c>
      <c r="E9" s="191" t="s">
        <v>174</v>
      </c>
      <c r="F9" s="191" t="s">
        <v>175</v>
      </c>
      <c r="G9" s="191" t="s">
        <v>35</v>
      </c>
      <c r="H9" s="191" t="s">
        <v>28</v>
      </c>
      <c r="I9" s="191" t="s">
        <v>176</v>
      </c>
      <c r="K9" s="1"/>
      <c r="L9" s="2"/>
      <c r="M9" s="1"/>
      <c r="N9" s="1"/>
      <c r="O9" s="1"/>
      <c r="P9" s="1"/>
      <c r="Q9" s="1"/>
      <c r="R9" s="1"/>
      <c r="S9" s="180"/>
      <c r="T9" s="1"/>
      <c r="U9" s="1"/>
      <c r="V9" s="1"/>
      <c r="W9" s="1"/>
      <c r="X9" s="1"/>
      <c r="Y9" s="1"/>
      <c r="Z9" s="1"/>
      <c r="AA9" s="1"/>
    </row>
    <row r="10">
      <c r="A10" s="1"/>
      <c r="B10" s="192"/>
      <c r="C10" s="192" t="s">
        <v>108</v>
      </c>
      <c r="D10" s="193">
        <f>IFERROR(__xludf.DUMMYFUNCTION("FILTER(Details!P:P,Details!$A:$A=$C10)*365*$C$4*$C$5/$C$3*SQRT($C$6) + FILTER(Details!AB:AB,Details!$A:$A=$C10)*365*$C$4*$C$5/$C$3/SQRT($C$6)"),3.0289591003196743)</f>
        <v>3.0289591</v>
      </c>
      <c r="E10" s="193">
        <f>IFERROR(__xludf.DUMMYFUNCTION("FILTER(Details!X:X,Details!$A:$A=$C10) + FILTER(Details!Z:Z,Details!$A:$A=$C10)"),14.566)</f>
        <v>14.566</v>
      </c>
      <c r="F10" s="193">
        <f>IFERROR(__xludf.DUMMYFUNCTION("FILTER(Details!I:I,Details!$A:$A=$C10)/$C$3 + FILTER(Details!T:T,Details!$A:$A=$C10)/$C$3"),0.0)</f>
        <v>0</v>
      </c>
      <c r="G10" s="193">
        <f>IFERROR(__xludf.DUMMYFUNCTION("FILTER(Details!V:V,Details!$A:$A=$C10)"),7.5485)</f>
        <v>7.5485</v>
      </c>
      <c r="H10" s="194" t="str">
        <f>IFERROR(__xludf.DUMMYFUNCTION("FILTER(Details!K:K,Details!$A:$A=$C10)"),"")</f>
        <v/>
      </c>
      <c r="I10" s="193">
        <f t="shared" ref="I10:I21" si="1">sum(D10:H10)</f>
        <v>25.1434591</v>
      </c>
      <c r="K10" s="1"/>
      <c r="L10" s="195"/>
      <c r="M10" s="1"/>
      <c r="N10" s="1"/>
      <c r="O10" s="1"/>
      <c r="P10" s="1"/>
      <c r="Q10" s="1"/>
      <c r="R10" s="1"/>
      <c r="S10" s="180"/>
      <c r="T10" s="1"/>
      <c r="U10" s="1"/>
      <c r="V10" s="1"/>
      <c r="W10" s="1"/>
      <c r="X10" s="1"/>
      <c r="Y10" s="1"/>
      <c r="Z10" s="1"/>
      <c r="AA10" s="1"/>
    </row>
    <row r="11">
      <c r="A11" s="1"/>
      <c r="B11" s="192"/>
      <c r="C11" s="192" t="s">
        <v>115</v>
      </c>
      <c r="D11" s="193">
        <f>IFERROR(__xludf.DUMMYFUNCTION("FILTER(Details!P:P,Details!$A:$A=$C11)*365*$C$4*$C$5/$C$3*SQRT($C$6) + FILTER(Details!AB:AB,Details!$A:$A=$C11)*365*$C$4*$C$5/$C$3/SQRT($C$6)"),4.613183267321818)</f>
        <v>4.613183267</v>
      </c>
      <c r="E11" s="193">
        <f>IFERROR(__xludf.DUMMYFUNCTION("FILTER(Details!X:X,Details!$A:$A=$C11) + FILTER(Details!Z:Z,Details!$A:$A=$C11)"),22.1664)</f>
        <v>22.1664</v>
      </c>
      <c r="F11" s="193">
        <f>IFERROR(__xludf.DUMMYFUNCTION("FILTER(Details!I:I,Details!$A:$A=$C11)/$C$3 + FILTER(Details!T:T,Details!$A:$A=$C11)/$C$3"),0.0)</f>
        <v>0</v>
      </c>
      <c r="G11" s="193">
        <f>IFERROR(__xludf.DUMMYFUNCTION("FILTER(Details!V:V,Details!$A:$A=$C11)"),13.606)</f>
        <v>13.606</v>
      </c>
      <c r="H11" s="194" t="str">
        <f>IFERROR(__xludf.DUMMYFUNCTION("FILTER(Details!K:K,Details!$A:$A=$C11)"),"")</f>
        <v/>
      </c>
      <c r="I11" s="193">
        <f t="shared" si="1"/>
        <v>40.38558327</v>
      </c>
      <c r="K11" s="196"/>
      <c r="L11" s="195"/>
      <c r="M11" s="1"/>
      <c r="N11" s="1"/>
      <c r="O11" s="1"/>
      <c r="P11" s="1"/>
      <c r="Q11" s="1"/>
      <c r="R11" s="1"/>
      <c r="S11" s="180"/>
      <c r="T11" s="1"/>
      <c r="U11" s="1"/>
      <c r="V11" s="1"/>
      <c r="W11" s="1"/>
      <c r="X11" s="1"/>
      <c r="Y11" s="1"/>
      <c r="Z11" s="1"/>
      <c r="AA11" s="1"/>
    </row>
    <row r="12">
      <c r="A12" s="1"/>
      <c r="B12" s="192"/>
      <c r="C12" s="192" t="s">
        <v>118</v>
      </c>
      <c r="D12" s="193">
        <f>IFERROR(__xludf.DUMMYFUNCTION("FILTER(Details!P:P,Details!$A:$A=$C12)*365*$C$4*$C$5/$C$3*SQRT($C$6) + FILTER(Details!AB:AB,Details!$A:$A=$C12)*365*$C$4*$C$5/$C$3/SQRT($C$6)"),7.875480424658683)</f>
        <v>7.875480425</v>
      </c>
      <c r="E12" s="193">
        <f>IFERROR(__xludf.DUMMYFUNCTION("FILTER(Details!X:X,Details!$A:$A=$C12) + FILTER(Details!Z:Z,Details!$A:$A=$C12)"),29.8418)</f>
        <v>29.8418</v>
      </c>
      <c r="F12" s="193">
        <f>IFERROR(__xludf.DUMMYFUNCTION("FILTER(Details!I:I,Details!$A:$A=$C12)/$C$3 + FILTER(Details!T:T,Details!$A:$A=$C12)/$C$3"),0.0)</f>
        <v>0</v>
      </c>
      <c r="G12" s="193">
        <f>IFERROR(__xludf.DUMMYFUNCTION("FILTER(Details!V:V,Details!$A:$A=$C12)"),25.1504)</f>
        <v>25.1504</v>
      </c>
      <c r="H12" s="194" t="str">
        <f>IFERROR(__xludf.DUMMYFUNCTION("FILTER(Details!K:K,Details!$A:$A=$C12)"),"")</f>
        <v/>
      </c>
      <c r="I12" s="193">
        <f t="shared" si="1"/>
        <v>62.86768042</v>
      </c>
      <c r="K12" s="196"/>
      <c r="L12" s="195"/>
      <c r="M12" s="1"/>
      <c r="N12" s="1"/>
      <c r="O12" s="1"/>
      <c r="P12" s="1"/>
      <c r="Q12" s="1"/>
      <c r="R12" s="1"/>
      <c r="S12" s="180"/>
      <c r="T12" s="1"/>
      <c r="U12" s="1"/>
      <c r="V12" s="1"/>
      <c r="W12" s="1"/>
      <c r="X12" s="1"/>
      <c r="Y12" s="1"/>
      <c r="Z12" s="1"/>
      <c r="AA12" s="1"/>
    </row>
    <row r="13">
      <c r="A13" s="1"/>
      <c r="B13" s="192"/>
      <c r="C13" s="192" t="s">
        <v>120</v>
      </c>
      <c r="D13" s="193">
        <f>IFERROR(__xludf.DUMMYFUNCTION("FILTER(Details!P:P,Details!$A:$A=$C13)*365*$C$4*$C$5/$C$3*SQRT($C$6) + FILTER(Details!AB:AB,Details!$A:$A=$C13)*365*$C$4*$C$5/$C$3/SQRT($C$6)"),2.0990853485386203)</f>
        <v>2.099085349</v>
      </c>
      <c r="E13" s="193">
        <f>IFERROR(__xludf.DUMMYFUNCTION("FILTER(Details!X:X,Details!$A:$A=$C13) + FILTER(Details!Z:Z,Details!$A:$A=$C13)"),43.1829264)</f>
        <v>43.1829264</v>
      </c>
      <c r="F13" s="193">
        <f>IFERROR(__xludf.DUMMYFUNCTION("FILTER(Details!I:I,Details!$A:$A=$C13)/$C$3 + FILTER(Details!T:T,Details!$A:$A=$C13)/$C$3"),0.1153)</f>
        <v>0.1153</v>
      </c>
      <c r="G13" s="193">
        <f>IFERROR(__xludf.DUMMYFUNCTION("FILTER(Details!V:V,Details!$A:$A=$C13)"),30.9004704)</f>
        <v>30.9004704</v>
      </c>
      <c r="H13" s="194" t="str">
        <f>IFERROR(__xludf.DUMMYFUNCTION("FILTER(Details!K:K,Details!$A:$A=$C13)"),"")</f>
        <v/>
      </c>
      <c r="I13" s="193">
        <f t="shared" si="1"/>
        <v>76.29778215</v>
      </c>
      <c r="K13" s="196"/>
      <c r="L13" s="195"/>
      <c r="M13" s="1"/>
      <c r="N13" s="1"/>
      <c r="O13" s="1"/>
      <c r="P13" s="1"/>
      <c r="Q13" s="1"/>
      <c r="R13" s="1"/>
      <c r="S13" s="180"/>
      <c r="T13" s="59"/>
      <c r="U13" s="59"/>
      <c r="V13" s="1"/>
      <c r="W13" s="1"/>
      <c r="X13" s="1"/>
      <c r="Y13" s="1"/>
      <c r="Z13" s="1"/>
      <c r="AA13" s="1"/>
    </row>
    <row r="14">
      <c r="A14" s="1"/>
      <c r="B14" s="192"/>
      <c r="C14" s="192" t="s">
        <v>128</v>
      </c>
      <c r="D14" s="193">
        <f>IFERROR(__xludf.DUMMYFUNCTION("FILTER(Details!P:P,Details!$A:$A=$C14)*365*$C$4*$C$5/$C$3*SQRT($C$6) + FILTER(Details!AB:AB,Details!$A:$A=$C14)*365*$C$4*$C$5/$C$3/SQRT($C$6)"),6.123729104364359)</f>
        <v>6.123729104</v>
      </c>
      <c r="E14" s="193">
        <f>IFERROR(__xludf.DUMMYFUNCTION("FILTER(Details!X:X,Details!$A:$A=$C14) + FILTER(Details!Z:Z,Details!$A:$A=$C14)"),21.9646632)</f>
        <v>21.9646632</v>
      </c>
      <c r="F14" s="193">
        <f>IFERROR(__xludf.DUMMYFUNCTION("FILTER(Details!I:I,Details!$A:$A=$C14)/$C$3 + FILTER(Details!T:T,Details!$A:$A=$C14)/$C$3"),0.1152959724)</f>
        <v>0.1152959724</v>
      </c>
      <c r="G14" s="193">
        <f>IFERROR(__xludf.DUMMYFUNCTION("FILTER(Details!V:V,Details!$A:$A=$C14)"),14.6849424)</f>
        <v>14.6849424</v>
      </c>
      <c r="H14" s="194" t="str">
        <f>IFERROR(__xludf.DUMMYFUNCTION("FILTER(Details!K:K,Details!$A:$A=$C14)"),"")</f>
        <v/>
      </c>
      <c r="I14" s="193">
        <f t="shared" si="1"/>
        <v>42.88863068</v>
      </c>
      <c r="K14" s="196"/>
      <c r="L14" s="195"/>
      <c r="M14" s="1"/>
      <c r="N14" s="1"/>
      <c r="O14" s="1"/>
      <c r="P14" s="1"/>
      <c r="Q14" s="1"/>
      <c r="R14" s="1"/>
      <c r="S14" s="180"/>
      <c r="T14" s="59"/>
      <c r="U14" s="59"/>
      <c r="V14" s="1"/>
      <c r="W14" s="1"/>
      <c r="X14" s="1"/>
      <c r="Y14" s="1"/>
      <c r="Z14" s="1"/>
      <c r="AA14" s="1"/>
    </row>
    <row r="15">
      <c r="A15" s="1"/>
      <c r="B15" s="192"/>
      <c r="C15" s="192" t="s">
        <v>131</v>
      </c>
      <c r="D15" s="193">
        <f>IFERROR(__xludf.DUMMYFUNCTION("FILTER(Details!P:P,Details!$A:$A=$C15)*365*$C$4*$C$5/$C$3*SQRT($C$6) + FILTER(Details!AB:AB,Details!$A:$A=$C15)*365*$C$4*$C$5/$C$3/SQRT($C$6)"),2.0990853485386203)</f>
        <v>2.099085349</v>
      </c>
      <c r="E15" s="193">
        <f>IFERROR(__xludf.DUMMYFUNCTION("FILTER(Details!X:X,Details!$A:$A=$C15) + FILTER(Details!Z:Z,Details!$A:$A=$C15)"),43.1829264)</f>
        <v>43.1829264</v>
      </c>
      <c r="F15" s="193">
        <f>IFERROR(__xludf.DUMMYFUNCTION("FILTER(Details!I:I,Details!$A:$A=$C15)/$C$3 + FILTER(Details!T:T,Details!$A:$A=$C15)/$C$3"),0.1153)</f>
        <v>0.1153</v>
      </c>
      <c r="G15" s="193">
        <f>IFERROR(__xludf.DUMMYFUNCTION("FILTER(Details!V:V,Details!$A:$A=$C15)"),30.9004704)</f>
        <v>30.9004704</v>
      </c>
      <c r="H15" s="194" t="str">
        <f>IFERROR(__xludf.DUMMYFUNCTION("FILTER(Details!K:K,Details!$A:$A=$C15)"),"")</f>
        <v/>
      </c>
      <c r="I15" s="193">
        <f t="shared" si="1"/>
        <v>76.29778215</v>
      </c>
      <c r="K15" s="196"/>
      <c r="L15" s="195"/>
      <c r="M15" s="1"/>
      <c r="N15" s="1"/>
      <c r="O15" s="1"/>
      <c r="P15" s="1"/>
      <c r="Q15" s="1"/>
      <c r="R15" s="1"/>
      <c r="S15" s="180"/>
      <c r="T15" s="59"/>
      <c r="U15" s="59"/>
      <c r="V15" s="1"/>
      <c r="W15" s="1"/>
      <c r="X15" s="1"/>
      <c r="Y15" s="1"/>
      <c r="Z15" s="1"/>
      <c r="AA15" s="1"/>
    </row>
    <row r="16">
      <c r="A16" s="1"/>
      <c r="B16" s="192"/>
      <c r="C16" s="192" t="s">
        <v>133</v>
      </c>
      <c r="D16" s="193">
        <f>IFERROR(__xludf.DUMMYFUNCTION("FILTER(Details!P:P,Details!$A:$A=$C16)*365*$C$4*$C$5/$C$3*SQRT($C$6) + FILTER(Details!AB:AB,Details!$A:$A=$C16)*365*$C$4*$C$5/$C$3/SQRT($C$6)"),6.2203793851098474)</f>
        <v>6.220379385</v>
      </c>
      <c r="E16" s="193">
        <f>IFERROR(__xludf.DUMMYFUNCTION("FILTER(Details!X:X,Details!$A:$A=$C16) + FILTER(Details!Z:Z,Details!$A:$A=$C16)"),50.4530592)</f>
        <v>50.4530592</v>
      </c>
      <c r="F16" s="193">
        <f>IFERROR(__xludf.DUMMYFUNCTION("FILTER(Details!I:I,Details!$A:$A=$C16)/$C$3 + FILTER(Details!T:T,Details!$A:$A=$C16)/$C$3"),0.1153)</f>
        <v>0.1153</v>
      </c>
      <c r="G16" s="193">
        <f>IFERROR(__xludf.DUMMYFUNCTION("FILTER(Details!V:V,Details!$A:$A=$C16)"),35.1788388)</f>
        <v>35.1788388</v>
      </c>
      <c r="H16" s="194" t="str">
        <f>IFERROR(__xludf.DUMMYFUNCTION("FILTER(Details!K:K,Details!$A:$A=$C16)"),"")</f>
        <v/>
      </c>
      <c r="I16" s="193">
        <f t="shared" si="1"/>
        <v>91.96757739</v>
      </c>
      <c r="K16" s="196"/>
      <c r="L16" s="195"/>
      <c r="M16" s="1"/>
      <c r="N16" s="1"/>
      <c r="O16" s="1"/>
      <c r="P16" s="1"/>
      <c r="Q16" s="1"/>
      <c r="R16" s="1"/>
      <c r="S16" s="180"/>
      <c r="T16" s="59"/>
      <c r="U16" s="59"/>
      <c r="V16" s="1"/>
      <c r="W16" s="1"/>
      <c r="X16" s="1"/>
      <c r="Y16" s="1"/>
      <c r="Z16" s="1"/>
      <c r="AA16" s="1"/>
    </row>
    <row r="17">
      <c r="A17" s="1"/>
      <c r="B17" s="192"/>
      <c r="C17" s="192" t="s">
        <v>134</v>
      </c>
      <c r="D17" s="193">
        <f>IFERROR(__xludf.DUMMYFUNCTION("FILTER(Details!P:P,Details!$A:$A=$C17)*365*$C$4*$C$5/$C$3*SQRT($C$6) + FILTER(Details!AB:AB,Details!$A:$A=$C17)*365*$C$4*$C$5/$C$3/SQRT($C$6) + FILTER(Details!AD:AD,Details!$A:$A=$C17)*365*$C$4*$C$5/$C$3"),38.11686045293682)</f>
        <v>38.11686045</v>
      </c>
      <c r="E17" s="193">
        <f>IFERROR(__xludf.DUMMYFUNCTION("FILTER(Details!X:X,Details!$A:$A=$C17) + FILTER(Details!Z:Z,Details!$A:$A=$C17)"),48.2067374005305)</f>
        <v>48.2067374</v>
      </c>
      <c r="F17" s="193">
        <f>IFERROR(__xludf.DUMMYFUNCTION("FILTER(Details!I:I,Details!$A:$A=$C17)/$C$3 + FILTER(Details!T:T,Details!$A:$A=$C17)/$C$3"),0.54311)</f>
        <v>0.54311</v>
      </c>
      <c r="G17" s="193" t="str">
        <f>IFERROR(__xludf.DUMMYFUNCTION("FILTER(Details!V:V,Details!$A:$A=$C17)"),"")</f>
        <v/>
      </c>
      <c r="H17" s="194" t="str">
        <f>IFERROR(__xludf.DUMMYFUNCTION("FILTER(Details!K:K,Details!$A:$A=$C17)"),"")</f>
        <v/>
      </c>
      <c r="I17" s="193">
        <f t="shared" si="1"/>
        <v>86.86670785</v>
      </c>
      <c r="K17" s="196"/>
      <c r="L17" s="196"/>
      <c r="M17" s="1"/>
      <c r="N17" s="1"/>
      <c r="O17" s="1"/>
      <c r="P17" s="1"/>
      <c r="Q17" s="1"/>
      <c r="R17" s="1"/>
      <c r="S17" s="180"/>
      <c r="T17" s="59"/>
      <c r="U17" s="59"/>
      <c r="V17" s="1"/>
      <c r="W17" s="1"/>
      <c r="X17" s="1"/>
      <c r="Y17" s="1"/>
      <c r="Z17" s="1"/>
      <c r="AA17" s="1"/>
    </row>
    <row r="18">
      <c r="A18" s="1"/>
      <c r="B18" s="192"/>
      <c r="C18" s="192" t="s">
        <v>142</v>
      </c>
      <c r="D18" s="193">
        <f>IFERROR(__xludf.DUMMYFUNCTION("FILTER(Details!P:P,Details!$A:$A=$C18)*365*$C$4*$C$5/$C$3*SQRT($C$6) + FILTER(Details!AB:AB,Details!$A:$A=$C18)*365*$C$4*$C$5/$C$3/SQRT($C$6) + FILTER(Details!AD:AD,Details!$A:$A=$C18)*365*$C$4*$C$5/$C$3"),5.435112877442412)</f>
        <v>5.435112877</v>
      </c>
      <c r="E18" s="193">
        <f>IFERROR(__xludf.DUMMYFUNCTION("FILTER(Details!X:X,Details!$A:$A=$C18) + FILTER(Details!Z:Z,Details!$A:$A=$C18)"),3.988172866666666)</f>
        <v>3.988172867</v>
      </c>
      <c r="F18" s="193">
        <f>IFERROR(__xludf.DUMMYFUNCTION("FILTER(Details!I:I,Details!$A:$A=$C18)/$C$3 + FILTER(Details!T:T,Details!$A:$A=$C18)/$C$3"),1.78413)</f>
        <v>1.78413</v>
      </c>
      <c r="G18" s="193" t="str">
        <f>IFERROR(__xludf.DUMMYFUNCTION("FILTER(Details!V:V,Details!$A:$A=$C18)"),"")</f>
        <v/>
      </c>
      <c r="H18" s="194">
        <f>IFERROR(__xludf.DUMMYFUNCTION("FILTER(Details!K:K,Details!$A:$A=$C18)"),0.4709669)</f>
        <v>0.4709669</v>
      </c>
      <c r="I18" s="193">
        <f t="shared" si="1"/>
        <v>11.67838264</v>
      </c>
      <c r="K18" s="196"/>
      <c r="L18" s="196"/>
      <c r="M18" s="1"/>
      <c r="N18" s="1"/>
      <c r="O18" s="1"/>
      <c r="P18" s="1"/>
      <c r="Q18" s="1"/>
      <c r="R18" s="1"/>
      <c r="S18" s="197">
        <f>(43-58)/58</f>
        <v>-0.2586206897</v>
      </c>
      <c r="T18" s="192" t="s">
        <v>128</v>
      </c>
      <c r="U18" s="1"/>
      <c r="V18" s="3" t="s">
        <v>177</v>
      </c>
      <c r="W18" s="1"/>
      <c r="X18" s="1"/>
      <c r="Y18" s="1"/>
      <c r="Z18" s="1"/>
      <c r="AA18" s="1"/>
    </row>
    <row r="19">
      <c r="A19" s="1"/>
      <c r="B19" s="192"/>
      <c r="C19" s="192" t="s">
        <v>152</v>
      </c>
      <c r="D19" s="193">
        <f>IFERROR(__xludf.DUMMYFUNCTION("FILTER(Details!P:P,Details!$A:$A=$C19)*365*$C$4*$C$5/$C$3*SQRT($C$6) + FILTER(Details!AB:AB,Details!$A:$A=$C19)*365*$C$4*$C$5/$C$3/SQRT($C$6) + + FILTER(Details!AD:AD,Details!$A:$A=$C19)*365*$C$4*$C$5/$C$3"),14.437923506661136)</f>
        <v>14.43792351</v>
      </c>
      <c r="E19" s="193">
        <f>IFERROR(__xludf.DUMMYFUNCTION("FILTER(Details!X:X,Details!$A:$A=$C19) + FILTER(Details!Z:Z,Details!$A:$A=$C19)"),31.5779136)</f>
        <v>31.5779136</v>
      </c>
      <c r="F19" s="193">
        <f>IFERROR(__xludf.DUMMYFUNCTION("FILTER(Details!I:I,Details!$A:$A=$C19)/$C$3 + FILTER(Details!T:T,Details!$A:$A=$C19)/$C$3"),1.46166)</f>
        <v>1.46166</v>
      </c>
      <c r="G19" s="193" t="str">
        <f>IFERROR(__xludf.DUMMYFUNCTION("FILTER(Details!V:V,Details!$A:$A=$C19)"),"")</f>
        <v/>
      </c>
      <c r="H19" s="194">
        <f>IFERROR(__xludf.DUMMYFUNCTION("FILTER(Details!K:K,Details!$A:$A=$C19)"),0.0438992)</f>
        <v>0.0438992</v>
      </c>
      <c r="I19" s="193">
        <f t="shared" si="1"/>
        <v>47.52139631</v>
      </c>
      <c r="K19" s="196"/>
      <c r="L19" s="196"/>
      <c r="M19" s="1"/>
      <c r="N19" s="1"/>
      <c r="O19" s="1"/>
      <c r="P19" s="1"/>
      <c r="Q19" s="1"/>
      <c r="R19" s="1"/>
      <c r="S19" s="197">
        <f>(92-102)/102</f>
        <v>-0.09803921569</v>
      </c>
      <c r="T19" s="192" t="s">
        <v>133</v>
      </c>
      <c r="U19" s="1"/>
      <c r="V19" s="3" t="s">
        <v>177</v>
      </c>
      <c r="W19" s="1"/>
      <c r="X19" s="1"/>
      <c r="Y19" s="1"/>
      <c r="Z19" s="1"/>
      <c r="AA19" s="1"/>
    </row>
    <row r="20">
      <c r="A20" s="1"/>
      <c r="B20" s="192"/>
      <c r="C20" s="192" t="s">
        <v>156</v>
      </c>
      <c r="D20" s="193">
        <f>IFERROR(__xludf.DUMMYFUNCTION("FILTER(Details!P:P,Details!$A:$A=$C20)*365*$C$4*$C$5/$C$3*SQRT($C$6) + FILTER(Details!AB:AB,Details!$A:$A=$C20)*365*$C$4*$C$5/$C$3/SQRT($C$6) + FILTER(Details!AD:AD,Details!$A:$A=$C20)*365*$C$4*$C$5/$C$3"),5.64417888115965)</f>
        <v>5.644178881</v>
      </c>
      <c r="E20" s="193">
        <f>IFERROR(__xludf.DUMMYFUNCTION("FILTER(Details!X:X,Details!$A:$A=$C20) + FILTER(Details!Z:Z,Details!$A:$A=$C20)"),3.1537616666666666)</f>
        <v>3.153761667</v>
      </c>
      <c r="F20" s="193">
        <f>IFERROR(__xludf.DUMMYFUNCTION("FILTER(Details!I:I,Details!$A:$A=$C20)/$C$3 + FILTER(Details!T:T,Details!$A:$A=$C20)/$C$3"),1.75327)</f>
        <v>1.75327</v>
      </c>
      <c r="G20" s="193" t="str">
        <f>IFERROR(__xludf.DUMMYFUNCTION("FILTER(Details!V:V,Details!$A:$A=$C20)"),"")</f>
        <v/>
      </c>
      <c r="H20" s="194">
        <f>IFERROR(__xludf.DUMMYFUNCTION("FILTER(Details!K:K,Details!$A:$A=$C20)"),0.4709669)</f>
        <v>0.4709669</v>
      </c>
      <c r="I20" s="193">
        <f t="shared" si="1"/>
        <v>11.02217745</v>
      </c>
      <c r="K20" s="196"/>
      <c r="L20" s="196"/>
      <c r="M20" s="1"/>
      <c r="N20" s="1"/>
      <c r="O20" s="1"/>
      <c r="P20" s="1"/>
      <c r="Q20" s="1"/>
      <c r="R20" s="1"/>
      <c r="S20" s="197">
        <f>(87-80)/80</f>
        <v>0.0875</v>
      </c>
      <c r="T20" s="192" t="s">
        <v>134</v>
      </c>
      <c r="U20" s="1"/>
      <c r="V20" s="3" t="s">
        <v>178</v>
      </c>
      <c r="W20" s="1"/>
      <c r="X20" s="1"/>
      <c r="Y20" s="1"/>
      <c r="Z20" s="1"/>
      <c r="AA20" s="1"/>
    </row>
    <row r="21">
      <c r="A21" s="1"/>
      <c r="B21" s="198"/>
      <c r="C21" s="198" t="s">
        <v>161</v>
      </c>
      <c r="D21" s="199">
        <f>IFERROR(__xludf.DUMMYFUNCTION("FILTER(Details!P:P,Details!$A:$A=$C21)*365*$C$4*$C$5/$C$3*SQRT($C$6) + FILTER(Details!AB:AB,Details!$A:$A=$C21)*365*$C$4*$C$5/$C$3/SQRT($C$6) + FILTER(Details!AD:AD,Details!$A:$A=$C21)*365*$C$4*$C$5/$C$3"),14.106140226301164)</f>
        <v>14.10614023</v>
      </c>
      <c r="E21" s="199">
        <f>IFERROR(__xludf.DUMMYFUNCTION("FILTER(Details!X:X,Details!$A:$A=$C21) + FILTER(Details!Z:Z,Details!$A:$A=$C21)"),22.820839433333333)</f>
        <v>22.82083943</v>
      </c>
      <c r="F21" s="199">
        <f>IFERROR(__xludf.DUMMYFUNCTION("FILTER(Details!I:I,Details!$A:$A=$C21)/$C$3 + FILTER(Details!T:T,Details!$A:$A=$C21)/$C$3"),1.30257)</f>
        <v>1.30257</v>
      </c>
      <c r="G21" s="199" t="str">
        <f>IFERROR(__xludf.DUMMYFUNCTION("FILTER(Details!V:V,Details!$A:$A=$C21)"),"")</f>
        <v/>
      </c>
      <c r="H21" s="200">
        <f>IFERROR(__xludf.DUMMYFUNCTION("FILTER(Details!K:K,Details!$A:$A=$C21)"),0.0438992)</f>
        <v>0.0438992</v>
      </c>
      <c r="I21" s="199">
        <f t="shared" si="1"/>
        <v>38.27344886</v>
      </c>
      <c r="K21" s="196"/>
      <c r="L21" s="196"/>
      <c r="M21" s="1"/>
      <c r="N21" s="1"/>
      <c r="O21" s="1"/>
      <c r="P21" s="1"/>
      <c r="Q21" s="1"/>
      <c r="R21" s="1"/>
      <c r="S21" s="180"/>
      <c r="T21" s="1"/>
      <c r="U21" s="1"/>
      <c r="V21" s="1"/>
      <c r="W21" s="1"/>
      <c r="X21" s="1"/>
      <c r="Y21" s="1"/>
      <c r="Z21" s="1"/>
      <c r="AA21" s="1"/>
    </row>
    <row r="22">
      <c r="A22" s="1"/>
      <c r="B22" s="1"/>
      <c r="C22" s="1"/>
      <c r="D22" s="1"/>
      <c r="E22" s="1"/>
      <c r="F22" s="1"/>
      <c r="G22" s="1"/>
      <c r="H22" s="1"/>
      <c r="I22" s="1"/>
      <c r="J22" s="1"/>
      <c r="K22" s="196"/>
      <c r="L22" s="1"/>
      <c r="M22" s="1"/>
      <c r="N22" s="1"/>
      <c r="O22" s="1"/>
      <c r="P22" s="1"/>
      <c r="Q22" s="1"/>
      <c r="R22" s="1"/>
      <c r="S22" s="180"/>
      <c r="T22" s="2"/>
      <c r="U22" s="1"/>
      <c r="V22" s="1"/>
      <c r="W22" s="1"/>
      <c r="X22" s="1"/>
      <c r="Y22" s="1"/>
      <c r="Z22" s="1"/>
      <c r="AA22" s="1"/>
    </row>
    <row r="23">
      <c r="A23" s="1"/>
      <c r="B23" s="188" t="s">
        <v>179</v>
      </c>
      <c r="C23" s="189"/>
      <c r="D23" s="1"/>
      <c r="E23" s="1"/>
      <c r="F23" s="1"/>
      <c r="G23" s="1"/>
      <c r="H23" s="1"/>
      <c r="I23" s="1"/>
      <c r="J23" s="1"/>
      <c r="K23" s="1"/>
      <c r="L23" s="1"/>
      <c r="M23" s="1"/>
      <c r="N23" s="1"/>
      <c r="O23" s="1"/>
      <c r="P23" s="1"/>
      <c r="Q23" s="1"/>
      <c r="R23" s="1"/>
      <c r="S23" s="180"/>
      <c r="T23" s="2"/>
      <c r="U23" s="1"/>
      <c r="V23" s="1"/>
      <c r="W23" s="1"/>
      <c r="X23" s="1"/>
      <c r="Y23" s="1"/>
      <c r="Z23" s="1"/>
      <c r="AA23" s="1"/>
    </row>
    <row r="24">
      <c r="A24" s="1"/>
      <c r="B24" s="190" t="s">
        <v>171</v>
      </c>
      <c r="C24" s="191" t="s">
        <v>172</v>
      </c>
      <c r="D24" s="191" t="s">
        <v>173</v>
      </c>
      <c r="E24" s="191" t="s">
        <v>174</v>
      </c>
      <c r="F24" s="191" t="s">
        <v>175</v>
      </c>
      <c r="G24" s="191" t="s">
        <v>35</v>
      </c>
      <c r="H24" s="191" t="s">
        <v>28</v>
      </c>
      <c r="I24" s="191" t="s">
        <v>176</v>
      </c>
      <c r="K24" s="1"/>
      <c r="L24" s="2"/>
      <c r="M24" s="1"/>
      <c r="N24" s="1"/>
      <c r="O24" s="1"/>
      <c r="P24" s="1"/>
      <c r="Q24" s="1"/>
      <c r="R24" s="1"/>
      <c r="S24" s="180"/>
      <c r="T24" s="2"/>
      <c r="U24" s="1"/>
      <c r="V24" s="1"/>
      <c r="W24" s="1"/>
      <c r="X24" s="1"/>
      <c r="Y24" s="1"/>
      <c r="Z24" s="1"/>
      <c r="AA24" s="1"/>
    </row>
    <row r="25">
      <c r="A25" s="1"/>
      <c r="B25" s="192"/>
      <c r="C25" s="192" t="s">
        <v>108</v>
      </c>
      <c r="D25" s="193">
        <f>IFERROR(__xludf.DUMMYFUNCTION("FILTER(Details!P:P,Details!$A:$A=$C25)*365*$C$4*$C$5/$C$3*SQRT($C$6)"),0.0)</f>
        <v>0</v>
      </c>
      <c r="E25" s="194"/>
      <c r="F25" s="193">
        <f>IFERROR(__xludf.DUMMYFUNCTION("(FILTER(Details!I:I,Details!$A:$A=$C25)/$C$3) + (FILTER(Details!T:T,Details!$A:$A=$C25)/$C$3)"),0.0)</f>
        <v>0</v>
      </c>
      <c r="G25" s="193">
        <f>IFERROR(__xludf.DUMMYFUNCTION("FILTER(Details!V:V,Details!$A:$A=$C25)"),7.5485)</f>
        <v>7.5485</v>
      </c>
      <c r="H25" s="194" t="str">
        <f>IFERROR(__xludf.DUMMYFUNCTION("FILTER(Details!K:K,Details!$A:$A=$C25)"),"")</f>
        <v/>
      </c>
      <c r="I25" s="193">
        <f t="shared" ref="I25:I36" si="2">sum(D25:H25)</f>
        <v>7.5485</v>
      </c>
      <c r="K25" s="1"/>
      <c r="L25" s="196"/>
      <c r="M25" s="1"/>
      <c r="N25" s="1"/>
      <c r="O25" s="1"/>
      <c r="P25" s="1"/>
      <c r="Q25" s="1"/>
      <c r="R25" s="1"/>
      <c r="S25" s="180"/>
      <c r="T25" s="2"/>
      <c r="U25" s="1"/>
      <c r="V25" s="1"/>
      <c r="W25" s="1"/>
      <c r="X25" s="1"/>
      <c r="Y25" s="1"/>
      <c r="Z25" s="1"/>
      <c r="AA25" s="1"/>
    </row>
    <row r="26">
      <c r="A26" s="1"/>
      <c r="B26" s="192"/>
      <c r="C26" s="192" t="s">
        <v>115</v>
      </c>
      <c r="D26" s="193">
        <f>IFERROR(__xludf.DUMMYFUNCTION("FILTER(Details!P:P,Details!$A:$A=$C26)*365*$C$4*$C$5/$C$3*SQRT($C$6)"),0.0)</f>
        <v>0</v>
      </c>
      <c r="E26" s="194"/>
      <c r="F26" s="193">
        <f>IFERROR(__xludf.DUMMYFUNCTION("(FILTER(Details!I:I,Details!$A:$A=$C26)/$C$3) + (FILTER(Details!T:T,Details!$A:$A=$C26)/$C$3)"),0.0)</f>
        <v>0</v>
      </c>
      <c r="G26" s="193">
        <f>IFERROR(__xludf.DUMMYFUNCTION("FILTER(Details!V:V,Details!$A:$A=$C26)"),13.606)</f>
        <v>13.606</v>
      </c>
      <c r="H26" s="194" t="str">
        <f>IFERROR(__xludf.DUMMYFUNCTION("FILTER(Details!K:K,Details!$A:$A=$C26)"),"")</f>
        <v/>
      </c>
      <c r="I26" s="193">
        <f t="shared" si="2"/>
        <v>13.606</v>
      </c>
      <c r="K26" s="196"/>
      <c r="L26" s="196"/>
      <c r="M26" s="1"/>
      <c r="N26" s="1"/>
      <c r="O26" s="1"/>
      <c r="P26" s="1"/>
      <c r="Q26" s="1"/>
      <c r="R26" s="1"/>
      <c r="S26" s="180"/>
      <c r="T26" s="2"/>
      <c r="U26" s="1"/>
      <c r="V26" s="1"/>
      <c r="W26" s="1"/>
      <c r="X26" s="1"/>
      <c r="Y26" s="1"/>
      <c r="Z26" s="1"/>
      <c r="AA26" s="1"/>
    </row>
    <row r="27">
      <c r="A27" s="1"/>
      <c r="B27" s="192"/>
      <c r="C27" s="192" t="s">
        <v>118</v>
      </c>
      <c r="D27" s="193">
        <f>IFERROR(__xludf.DUMMYFUNCTION("FILTER(Details!P:P,Details!$A:$A=$C27)*365*$C$4*$C$5/$C$3*SQRT($C$6)"),0.0)</f>
        <v>0</v>
      </c>
      <c r="E27" s="194"/>
      <c r="F27" s="193">
        <f>IFERROR(__xludf.DUMMYFUNCTION("(FILTER(Details!I:I,Details!$A:$A=$C27)/$C$3) + (FILTER(Details!T:T,Details!$A:$A=$C27)/$C$3)"),0.0)</f>
        <v>0</v>
      </c>
      <c r="G27" s="193">
        <f>IFERROR(__xludf.DUMMYFUNCTION("FILTER(Details!V:V,Details!$A:$A=$C27)"),25.1504)</f>
        <v>25.1504</v>
      </c>
      <c r="H27" s="194" t="str">
        <f>IFERROR(__xludf.DUMMYFUNCTION("FILTER(Details!K:K,Details!$A:$A=$C27)"),"")</f>
        <v/>
      </c>
      <c r="I27" s="193">
        <f t="shared" si="2"/>
        <v>25.1504</v>
      </c>
      <c r="K27" s="196"/>
      <c r="L27" s="196"/>
      <c r="M27" s="1"/>
      <c r="N27" s="1"/>
      <c r="O27" s="1"/>
      <c r="P27" s="1"/>
      <c r="Q27" s="1"/>
      <c r="R27" s="1"/>
      <c r="S27" s="180"/>
      <c r="T27" s="1"/>
      <c r="U27" s="1"/>
      <c r="V27" s="1"/>
      <c r="W27" s="1"/>
      <c r="X27" s="1"/>
      <c r="Y27" s="1"/>
      <c r="Z27" s="1"/>
      <c r="AA27" s="1"/>
    </row>
    <row r="28">
      <c r="A28" s="1"/>
      <c r="B28" s="192"/>
      <c r="C28" s="192" t="s">
        <v>120</v>
      </c>
      <c r="D28" s="193">
        <f>IFERROR(__xludf.DUMMYFUNCTION("FILTER(Details!P:P,Details!$A:$A=$C28)*365*$C$4*$C$5/$C$3*SQRT($C$6)"),1.7986290410037309)</f>
        <v>1.798629041</v>
      </c>
      <c r="E28" s="193">
        <f>IFERROR(__xludf.DUMMYFUNCTION("(FILTER(Details!X:X,Details!$A:$A=$C28))*0.2 + FILTER(Details!Z:Z,Details!$A:$A=$C28)"),8.63658528)</f>
        <v>8.63658528</v>
      </c>
      <c r="F28" s="193">
        <f>IFERROR(__xludf.DUMMYFUNCTION("(FILTER(Details!I:I,Details!$A:$A=$C28)/$C$3) + (FILTER(Details!T:T,Details!$A:$A=$C28)/$C$3)"),0.1153)</f>
        <v>0.1153</v>
      </c>
      <c r="G28" s="193">
        <f>IFERROR(__xludf.DUMMYFUNCTION("(FILTER(Details!V:V,Details!$A:$A=$C28))*0.2"),6.18009408)</f>
        <v>6.18009408</v>
      </c>
      <c r="H28" s="194" t="str">
        <f>IFERROR(__xludf.DUMMYFUNCTION("FILTER(Details!K:K,Details!$A:$A=$C28)"),"")</f>
        <v/>
      </c>
      <c r="I28" s="193">
        <f t="shared" si="2"/>
        <v>16.7306084</v>
      </c>
      <c r="K28" s="196"/>
      <c r="L28" s="196"/>
      <c r="M28" s="1"/>
      <c r="N28" s="1"/>
      <c r="O28" s="1"/>
      <c r="P28" s="1"/>
      <c r="Q28" s="1"/>
      <c r="R28" s="1"/>
      <c r="S28" s="180"/>
      <c r="T28" s="1"/>
      <c r="U28" s="1"/>
      <c r="V28" s="1"/>
      <c r="W28" s="1"/>
      <c r="X28" s="1"/>
      <c r="Y28" s="1"/>
      <c r="Z28" s="1"/>
      <c r="AA28" s="1"/>
    </row>
    <row r="29">
      <c r="A29" s="1"/>
      <c r="B29" s="192"/>
      <c r="C29" s="192" t="s">
        <v>128</v>
      </c>
      <c r="D29" s="193">
        <f>IFERROR(__xludf.DUMMYFUNCTION("FILTER(Details!P:P,Details!$A:$A=$C29)*365*$C$4*$C$5/$C$3*SQRT($C$6)"),1.7986290410037309)</f>
        <v>1.798629041</v>
      </c>
      <c r="E29" s="193">
        <f>IFERROR(__xludf.DUMMYFUNCTION("(FILTER(Details!X:X,Details!$A:$A=$C29))*0.2 + FILTER(Details!Z:Z,Details!$A:$A=$C29)"),4.392932640000001)</f>
        <v>4.39293264</v>
      </c>
      <c r="F29" s="193">
        <f>IFERROR(__xludf.DUMMYFUNCTION("(FILTER(Details!I:I,Details!$A:$A=$C29)/$C$3) + (FILTER(Details!T:T,Details!$A:$A=$C29)/$C$3)"),0.1152959724)</f>
        <v>0.1152959724</v>
      </c>
      <c r="G29" s="193">
        <f>IFERROR(__xludf.DUMMYFUNCTION("(FILTER(Details!V:V,Details!$A:$A=$C29))*0.2"),2.93698848)</f>
        <v>2.93698848</v>
      </c>
      <c r="H29" s="194" t="str">
        <f>IFERROR(__xludf.DUMMYFUNCTION("FILTER(Details!K:K,Details!$A:$A=$C29)"),"")</f>
        <v/>
      </c>
      <c r="I29" s="193">
        <f t="shared" si="2"/>
        <v>9.243846133</v>
      </c>
      <c r="K29" s="196"/>
      <c r="L29" s="196"/>
      <c r="M29" s="1"/>
      <c r="N29" s="1"/>
      <c r="O29" s="1"/>
      <c r="P29" s="1"/>
      <c r="Q29" s="1"/>
      <c r="R29" s="1"/>
      <c r="S29" s="180"/>
      <c r="T29" s="1"/>
      <c r="U29" s="1"/>
      <c r="V29" s="1"/>
      <c r="W29" s="1"/>
      <c r="X29" s="1"/>
      <c r="Y29" s="1"/>
      <c r="Z29" s="1"/>
      <c r="AA29" s="1"/>
    </row>
    <row r="30">
      <c r="A30" s="1"/>
      <c r="B30" s="192"/>
      <c r="C30" s="192" t="s">
        <v>131</v>
      </c>
      <c r="D30" s="193">
        <f>IFERROR(__xludf.DUMMYFUNCTION("FILTER(Details!P:P,Details!$A:$A=$C30)*365*$C$4*$C$5/$C$3*SQRT($C$6)"),1.7986290410037309)</f>
        <v>1.798629041</v>
      </c>
      <c r="E30" s="193">
        <f>IFERROR(__xludf.DUMMYFUNCTION("(FILTER(Details!X:X,Details!$A:$A=$C30))*0.2 + FILTER(Details!Z:Z,Details!$A:$A=$C30)"),8.63658528)</f>
        <v>8.63658528</v>
      </c>
      <c r="F30" s="193">
        <f>IFERROR(__xludf.DUMMYFUNCTION("(FILTER(Details!I:I,Details!$A:$A=$C30)/$C$3) + (FILTER(Details!T:T,Details!$A:$A=$C30)/$C$3)"),0.1153)</f>
        <v>0.1153</v>
      </c>
      <c r="G30" s="193">
        <f>IFERROR(__xludf.DUMMYFUNCTION("(FILTER(Details!V:V,Details!$A:$A=$C30))*0.2"),6.18009408)</f>
        <v>6.18009408</v>
      </c>
      <c r="H30" s="194" t="str">
        <f>IFERROR(__xludf.DUMMYFUNCTION("FILTER(Details!K:K,Details!$A:$A=$C30)"),"")</f>
        <v/>
      </c>
      <c r="I30" s="193">
        <f t="shared" si="2"/>
        <v>16.7306084</v>
      </c>
      <c r="K30" s="196"/>
      <c r="L30" s="196"/>
      <c r="M30" s="1"/>
      <c r="N30" s="1"/>
      <c r="O30" s="1"/>
      <c r="P30" s="1"/>
      <c r="Q30" s="1"/>
      <c r="R30" s="1"/>
      <c r="S30" s="180"/>
      <c r="T30" s="1"/>
      <c r="U30" s="1"/>
      <c r="V30" s="1"/>
      <c r="W30" s="1"/>
      <c r="X30" s="1"/>
      <c r="Y30" s="1"/>
      <c r="Z30" s="1"/>
      <c r="AA30" s="1"/>
    </row>
    <row r="31">
      <c r="A31" s="1"/>
      <c r="B31" s="192"/>
      <c r="C31" s="192" t="s">
        <v>133</v>
      </c>
      <c r="D31" s="193">
        <f>IFERROR(__xludf.DUMMYFUNCTION("FILTER(Details!P:P,Details!$A:$A=$C31)*365*$C$4*$C$5/$C$3*SQRT($C$6)"),1.7986290410037309)</f>
        <v>1.798629041</v>
      </c>
      <c r="E31" s="193">
        <f>IFERROR(__xludf.DUMMYFUNCTION("(FILTER(Details!X:X,Details!$A:$A=$C31))*0.2 + FILTER(Details!Z:Z,Details!$A:$A=$C31)"),10.090611840000001)</f>
        <v>10.09061184</v>
      </c>
      <c r="F31" s="193">
        <f>IFERROR(__xludf.DUMMYFUNCTION("(FILTER(Details!I:I,Details!$A:$A=$C31)/$C$3) + (FILTER(Details!T:T,Details!$A:$A=$C31)/$C$3)"),0.1153)</f>
        <v>0.1153</v>
      </c>
      <c r="G31" s="193">
        <f>IFERROR(__xludf.DUMMYFUNCTION("(FILTER(Details!V:V,Details!$A:$A=$C31))*0.2"),7.035767760000001)</f>
        <v>7.03576776</v>
      </c>
      <c r="H31" s="194" t="str">
        <f>IFERROR(__xludf.DUMMYFUNCTION("FILTER(Details!K:K,Details!$A:$A=$C31)"),"")</f>
        <v/>
      </c>
      <c r="I31" s="193">
        <f t="shared" si="2"/>
        <v>19.04030864</v>
      </c>
      <c r="K31" s="196"/>
      <c r="L31" s="196"/>
      <c r="M31" s="1"/>
      <c r="N31" s="1"/>
      <c r="O31" s="1"/>
      <c r="P31" s="1"/>
      <c r="Q31" s="1"/>
      <c r="R31" s="1"/>
      <c r="S31" s="180"/>
      <c r="T31" s="1"/>
      <c r="U31" s="1"/>
      <c r="V31" s="1"/>
      <c r="W31" s="1"/>
      <c r="X31" s="1"/>
      <c r="Y31" s="1"/>
      <c r="Z31" s="1"/>
      <c r="AA31" s="1"/>
    </row>
    <row r="32">
      <c r="A32" s="1"/>
      <c r="B32" s="192"/>
      <c r="C32" s="192" t="s">
        <v>134</v>
      </c>
      <c r="D32" s="193">
        <f>IFERROR(__xludf.DUMMYFUNCTION("FILTER(Details!P:P,Details!$A:$A=$C32)*365*$C$4*$C$5/$C$3*SQRT($C$6) + FILTER(Details!AB:AB,Details!$A:$A=$C32)*365*$C$4*$C$5/$C$3/SQRT($C$6) + FILTER(Details!AD:AD,Details!$A:$A=$C32)*365*$C$4*$C$5/$C$3"),38.11686045293682)</f>
        <v>38.11686045</v>
      </c>
      <c r="E32" s="193">
        <f>IFERROR(__xludf.DUMMYFUNCTION("(FILTER(Details!X:X,Details!$A:$A=$C32)) + FILTER(Details!Z:Z,Details!$A:$A=$C32)"),48.2067374005305)</f>
        <v>48.2067374</v>
      </c>
      <c r="F32" s="193">
        <f>IFERROR(__xludf.DUMMYFUNCTION("(FILTER(Details!I:I,Details!$A:$A=$C32)/$C$3) + (FILTER(Details!T:T,Details!$A:$A=$C32)/$C$3)"),0.54311)</f>
        <v>0.54311</v>
      </c>
      <c r="G32" s="193" t="str">
        <f>IFERROR(__xludf.DUMMYFUNCTION("FILTER(Details!V:V,Details!$A:$A=$C32)"),"")</f>
        <v/>
      </c>
      <c r="H32" s="194" t="str">
        <f>IFERROR(__xludf.DUMMYFUNCTION("FILTER(Details!K:K,Details!$A:$A=$C32)"),"")</f>
        <v/>
      </c>
      <c r="I32" s="193">
        <f t="shared" si="2"/>
        <v>86.86670785</v>
      </c>
      <c r="K32" s="196"/>
      <c r="L32" s="196"/>
      <c r="M32" s="1"/>
      <c r="N32" s="1"/>
      <c r="O32" s="1"/>
      <c r="P32" s="1"/>
      <c r="Q32" s="1"/>
      <c r="R32" s="1"/>
      <c r="S32" s="180"/>
      <c r="T32" s="1"/>
      <c r="U32" s="1"/>
      <c r="V32" s="1"/>
      <c r="W32" s="1"/>
      <c r="X32" s="1"/>
      <c r="Y32" s="1"/>
      <c r="Z32" s="1"/>
      <c r="AA32" s="1"/>
    </row>
    <row r="33">
      <c r="A33" s="1"/>
      <c r="B33" s="192"/>
      <c r="C33" s="192" t="s">
        <v>142</v>
      </c>
      <c r="D33" s="193">
        <f>IFERROR(__xludf.DUMMYFUNCTION("FILTER(Details!P:P,Details!$A:$A=$C33)*365*$C$4*$C$5/$C$3 + FILTER(Details!AB:AB,Details!$A:$A=$C33)*365*$C$4*$C$5/$C$3 + FILTER(Details!AD:AD,Details!$A:$A=$C33)*365*$C$4*$C$5/$C$3"),5.406781500000001)</f>
        <v>5.4067815</v>
      </c>
      <c r="E33" s="193">
        <f>IFERROR(__xludf.DUMMYFUNCTION("FILTER(Details!X:X,Details!$A:$A=$C33) + FILTER(Details!Z:Z,Details!$A:$A=$C33)"),3.988172866666666)</f>
        <v>3.988172867</v>
      </c>
      <c r="F33" s="193">
        <f>IFERROR(__xludf.DUMMYFUNCTION("FILTER(Details!T:T,Details!$A:$A=$C33)/$C$3"),0.90655)</f>
        <v>0.90655</v>
      </c>
      <c r="G33" s="193" t="str">
        <f>IFERROR(__xludf.DUMMYFUNCTION("FILTER(Details!V:V,Details!$A:$A=$C33)"),"")</f>
        <v/>
      </c>
      <c r="H33" s="194">
        <f>IFERROR(__xludf.DUMMYFUNCTION("FILTER(Details!K:K,Details!$A:$A=$C33)"),0.4709669)</f>
        <v>0.4709669</v>
      </c>
      <c r="I33" s="193">
        <f t="shared" si="2"/>
        <v>10.77247127</v>
      </c>
      <c r="K33" s="196"/>
      <c r="L33" s="196"/>
      <c r="M33" s="1"/>
      <c r="N33" s="1"/>
      <c r="O33" s="1"/>
      <c r="P33" s="1"/>
      <c r="Q33" s="1"/>
      <c r="R33" s="1"/>
      <c r="S33" s="180"/>
      <c r="T33" s="1"/>
      <c r="U33" s="1"/>
      <c r="V33" s="1"/>
      <c r="W33" s="1"/>
      <c r="X33" s="1"/>
      <c r="Y33" s="1"/>
      <c r="Z33" s="1"/>
      <c r="AA33" s="1"/>
    </row>
    <row r="34">
      <c r="A34" s="1"/>
      <c r="B34" s="192"/>
      <c r="C34" s="192" t="s">
        <v>152</v>
      </c>
      <c r="D34" s="193">
        <f>IFERROR(__xludf.DUMMYFUNCTION("FILTER(Details!P:P,Details!$A:$A=$C34)*365*$C$4*$C$5/$C$3*SQRT($C$6) + FILTER(Details!AB:AB,Details!$A:$A=$C34)*365*$C$4*$C$5/$C$3/SQRT($C$6)"),5.823996506661137)</f>
        <v>5.823996507</v>
      </c>
      <c r="E34" s="193">
        <f>IFERROR(__xludf.DUMMYFUNCTION("FILTER(Details!X:X,Details!$A:$A=$C34) + FILTER(Details!Z:Z,Details!$A:$A=$C34)"),31.5779136)</f>
        <v>31.5779136</v>
      </c>
      <c r="F34" s="193">
        <f>IFERROR(__xludf.DUMMYFUNCTION("FILTER(Details!T:T,Details!$A:$A=$C34)/$C$3"),0.79643)</f>
        <v>0.79643</v>
      </c>
      <c r="G34" s="193" t="str">
        <f>IFERROR(__xludf.DUMMYFUNCTION("FILTER(Details!V:V,Details!$A:$A=$C34)"),"")</f>
        <v/>
      </c>
      <c r="H34" s="194">
        <f>IFERROR(__xludf.DUMMYFUNCTION("FILTER(Details!K:K,Details!$A:$A=$C34)"),0.0438992)</f>
        <v>0.0438992</v>
      </c>
      <c r="I34" s="193">
        <f t="shared" si="2"/>
        <v>38.24223931</v>
      </c>
      <c r="K34" s="196"/>
      <c r="L34" s="196"/>
      <c r="M34" s="1"/>
      <c r="N34" s="1"/>
      <c r="O34" s="1"/>
      <c r="P34" s="1"/>
      <c r="Q34" s="1"/>
      <c r="R34" s="1"/>
      <c r="S34" s="180"/>
      <c r="T34" s="1"/>
      <c r="U34" s="1"/>
      <c r="V34" s="1"/>
      <c r="W34" s="1"/>
      <c r="X34" s="1"/>
      <c r="Y34" s="1"/>
      <c r="Z34" s="1"/>
      <c r="AA34" s="1"/>
    </row>
    <row r="35">
      <c r="A35" s="1"/>
      <c r="B35" s="192"/>
      <c r="C35" s="192" t="s">
        <v>156</v>
      </c>
      <c r="D35" s="193">
        <f>IFERROR(__xludf.DUMMYFUNCTION("FILTER(Details!P:P,Details!$A:$A=$C35)*365*$C$4*$C$5/$C$3*SQRT($C$6) + (FILTER(Details!AB:AB,Details!$A:$A=$C35)*365*$C$4*$C$5/$C$3/SQRT($C$6))*0.15 + (FILTER(Details!AD:AD,Details!$A:$A=$C35)*365*$C$4*$C$5/$C$3)*0.15"),0.8466268321739474)</f>
        <v>0.8466268322</v>
      </c>
      <c r="E35" s="193">
        <f>IFERROR(__xludf.DUMMYFUNCTION("FILTER(Details!X:X,Details!$A:$A=$C35) + FILTER(Details!Z:Z,Details!$A:$A=$C35)"),3.1537616666666666)</f>
        <v>3.153761667</v>
      </c>
      <c r="F35" s="193">
        <f>IFERROR(__xludf.DUMMYFUNCTION("FILTER(Details!T:T,Details!$A:$A=$C35)/$C$3"),0.8756900000000001)</f>
        <v>0.87569</v>
      </c>
      <c r="G35" s="193" t="str">
        <f>IFERROR(__xludf.DUMMYFUNCTION("FILTER(Details!V:V,Details!$A:$A=$C35)"),"")</f>
        <v/>
      </c>
      <c r="H35" s="194">
        <f>IFERROR(__xludf.DUMMYFUNCTION("FILTER(Details!K:K,Details!$A:$A=$C35)"),0.4709669)</f>
        <v>0.4709669</v>
      </c>
      <c r="I35" s="193">
        <f t="shared" si="2"/>
        <v>5.347045399</v>
      </c>
      <c r="K35" s="196"/>
      <c r="L35" s="196"/>
      <c r="M35" s="1"/>
      <c r="N35" s="1"/>
      <c r="O35" s="1"/>
      <c r="P35" s="1"/>
      <c r="Q35" s="1"/>
      <c r="R35" s="1"/>
      <c r="S35" s="180"/>
      <c r="T35" s="1"/>
      <c r="U35" s="1"/>
      <c r="V35" s="1"/>
      <c r="W35" s="1"/>
      <c r="X35" s="1"/>
      <c r="Y35" s="1"/>
      <c r="Z35" s="1"/>
      <c r="AA35" s="1"/>
    </row>
    <row r="36">
      <c r="A36" s="1"/>
      <c r="B36" s="198"/>
      <c r="C36" s="198" t="s">
        <v>161</v>
      </c>
      <c r="D36" s="199">
        <f>IFERROR(__xludf.DUMMYFUNCTION("FILTER(Details!P:P,Details!$A:$A=$C36)*365*$C$4*$C$5/$C$3*SQRT($C$6) + (FILTER(Details!AB:AB,Details!$A:$A=$C36)*365*$C$4*$C$5/$C$3/SQRT($C$6))*0.15 + (FILTER(Details!AD:AD,Details!$A:$A=$C36)*365*$C$4*$C$5/$C$3)*0.15"),2.115921033945175)</f>
        <v>2.115921034</v>
      </c>
      <c r="E36" s="199">
        <f>IFERROR(__xludf.DUMMYFUNCTION("FILTER(Details!X:X,Details!$A:$A=$C36) + FILTER(Details!Z:Z,Details!$A:$A=$C36)"),22.820839433333333)</f>
        <v>22.82083943</v>
      </c>
      <c r="F36" s="199">
        <f>IFERROR(__xludf.DUMMYFUNCTION("FILTER(Details!T:T,Details!$A:$A=$C36)/$C$3"),0.63734)</f>
        <v>0.63734</v>
      </c>
      <c r="G36" s="199" t="str">
        <f>IFERROR(__xludf.DUMMYFUNCTION("FILTER(Details!V:V,Details!$A:$A=$C36)"),"")</f>
        <v/>
      </c>
      <c r="H36" s="200">
        <f>IFERROR(__xludf.DUMMYFUNCTION("FILTER(Details!K:K,Details!$A:$A=$C36)"),0.0438992)</f>
        <v>0.0438992</v>
      </c>
      <c r="I36" s="199">
        <f t="shared" si="2"/>
        <v>25.61799967</v>
      </c>
      <c r="K36" s="196"/>
      <c r="L36" s="196"/>
      <c r="M36" s="1"/>
      <c r="N36" s="1"/>
      <c r="O36" s="1"/>
      <c r="P36" s="1"/>
      <c r="Q36" s="1"/>
      <c r="R36" s="1"/>
      <c r="S36" s="180"/>
      <c r="T36" s="1"/>
      <c r="U36" s="1"/>
      <c r="V36" s="1"/>
      <c r="W36" s="1"/>
      <c r="X36" s="1"/>
      <c r="Y36" s="1"/>
      <c r="Z36" s="1"/>
      <c r="AA36" s="1"/>
    </row>
    <row r="37">
      <c r="A37" s="1"/>
      <c r="B37" s="1"/>
      <c r="C37" s="1"/>
      <c r="D37" s="1"/>
      <c r="E37" s="1"/>
      <c r="F37" s="1"/>
      <c r="G37" s="1"/>
      <c r="H37" s="1"/>
      <c r="I37" s="1"/>
      <c r="J37" s="1"/>
      <c r="K37" s="196"/>
      <c r="L37" s="1"/>
      <c r="M37" s="1"/>
      <c r="N37" s="1"/>
      <c r="O37" s="1"/>
      <c r="P37" s="1"/>
      <c r="Q37" s="1"/>
      <c r="R37" s="1"/>
      <c r="S37" s="180"/>
      <c r="T37" s="1"/>
      <c r="U37" s="1"/>
      <c r="V37" s="1"/>
      <c r="W37" s="1"/>
      <c r="X37" s="1"/>
      <c r="Y37" s="1"/>
      <c r="Z37" s="1"/>
      <c r="AA37" s="1"/>
    </row>
    <row r="38">
      <c r="A38" s="1"/>
      <c r="B38" s="201" t="s">
        <v>180</v>
      </c>
      <c r="C38" s="189"/>
      <c r="D38" s="1"/>
      <c r="E38" s="1"/>
      <c r="F38" s="1"/>
      <c r="G38" s="1"/>
      <c r="H38" s="1"/>
      <c r="I38" s="1"/>
      <c r="J38" s="1"/>
      <c r="K38" s="1"/>
      <c r="L38" s="1"/>
      <c r="M38" s="1"/>
      <c r="N38" s="1"/>
      <c r="O38" s="1"/>
      <c r="P38" s="1"/>
      <c r="Q38" s="1"/>
      <c r="R38" s="1"/>
      <c r="S38" s="180"/>
      <c r="T38" s="1"/>
      <c r="U38" s="1"/>
      <c r="V38" s="1"/>
      <c r="W38" s="1"/>
      <c r="X38" s="1"/>
      <c r="Y38" s="1"/>
      <c r="Z38" s="1"/>
      <c r="AA38" s="1"/>
    </row>
    <row r="39">
      <c r="A39" s="1"/>
      <c r="B39" s="190" t="s">
        <v>171</v>
      </c>
      <c r="C39" s="191" t="s">
        <v>172</v>
      </c>
      <c r="D39" s="191" t="s">
        <v>181</v>
      </c>
      <c r="E39" s="191" t="s">
        <v>182</v>
      </c>
      <c r="F39" s="1"/>
      <c r="G39" s="1"/>
      <c r="H39" s="1"/>
      <c r="I39" s="1"/>
      <c r="J39" s="1"/>
      <c r="K39" s="1"/>
      <c r="L39" s="1"/>
      <c r="M39" s="1"/>
      <c r="N39" s="1"/>
      <c r="O39" s="1"/>
      <c r="P39" s="1"/>
      <c r="Q39" s="1"/>
      <c r="R39" s="1"/>
      <c r="S39" s="180"/>
      <c r="T39" s="1"/>
      <c r="U39" s="1"/>
      <c r="V39" s="1"/>
      <c r="W39" s="1"/>
      <c r="X39" s="1"/>
      <c r="Y39" s="1"/>
      <c r="Z39" s="1"/>
      <c r="AA39" s="1"/>
    </row>
    <row r="40">
      <c r="A40" s="1"/>
      <c r="B40" s="192"/>
      <c r="C40" s="192" t="s">
        <v>108</v>
      </c>
      <c r="D40" s="193">
        <f t="shared" ref="D40:D51" si="3">sum(D10:H10)</f>
        <v>25.1434591</v>
      </c>
      <c r="E40" s="193">
        <f t="shared" ref="E40:E51" si="4">sum(D25:H25)</f>
        <v>7.5485</v>
      </c>
      <c r="F40" s="1"/>
      <c r="G40" s="1"/>
      <c r="H40" s="1"/>
      <c r="I40" s="1"/>
      <c r="J40" s="1"/>
      <c r="K40" s="1"/>
      <c r="L40" s="1"/>
      <c r="M40" s="1"/>
      <c r="N40" s="1"/>
      <c r="O40" s="1"/>
      <c r="P40" s="1"/>
      <c r="Q40" s="1"/>
      <c r="R40" s="1"/>
      <c r="S40" s="180"/>
      <c r="T40" s="1"/>
      <c r="U40" s="1"/>
      <c r="V40" s="1"/>
      <c r="W40" s="1"/>
      <c r="X40" s="1"/>
      <c r="Y40" s="1"/>
      <c r="Z40" s="1"/>
      <c r="AA40" s="1"/>
    </row>
    <row r="41">
      <c r="A41" s="1"/>
      <c r="B41" s="192"/>
      <c r="C41" s="192" t="s">
        <v>115</v>
      </c>
      <c r="D41" s="193">
        <f t="shared" si="3"/>
        <v>40.38558327</v>
      </c>
      <c r="E41" s="193">
        <f t="shared" si="4"/>
        <v>13.606</v>
      </c>
      <c r="F41" s="1"/>
      <c r="G41" s="1"/>
      <c r="H41" s="1"/>
      <c r="I41" s="1"/>
      <c r="J41" s="1"/>
      <c r="K41" s="1"/>
      <c r="L41" s="196"/>
      <c r="M41" s="1"/>
      <c r="N41" s="1"/>
      <c r="O41" s="1"/>
      <c r="P41" s="1"/>
      <c r="Q41" s="1"/>
      <c r="R41" s="1"/>
      <c r="S41" s="180"/>
      <c r="T41" s="1"/>
      <c r="U41" s="1"/>
      <c r="V41" s="1"/>
      <c r="W41" s="1"/>
      <c r="X41" s="1"/>
      <c r="Y41" s="1"/>
      <c r="Z41" s="1"/>
      <c r="AA41" s="1"/>
    </row>
    <row r="42">
      <c r="A42" s="1"/>
      <c r="B42" s="192"/>
      <c r="C42" s="192" t="s">
        <v>118</v>
      </c>
      <c r="D42" s="193">
        <f t="shared" si="3"/>
        <v>62.86768042</v>
      </c>
      <c r="E42" s="193">
        <f t="shared" si="4"/>
        <v>25.1504</v>
      </c>
      <c r="F42" s="1"/>
      <c r="G42" s="1"/>
      <c r="H42" s="1"/>
      <c r="I42" s="1"/>
      <c r="J42" s="1"/>
      <c r="K42" s="1"/>
      <c r="L42" s="196"/>
      <c r="M42" s="1"/>
      <c r="N42" s="1"/>
      <c r="O42" s="1"/>
      <c r="P42" s="1"/>
      <c r="Q42" s="1"/>
      <c r="R42" s="1"/>
      <c r="S42" s="180"/>
      <c r="T42" s="1"/>
      <c r="U42" s="1"/>
      <c r="V42" s="1"/>
      <c r="W42" s="1"/>
      <c r="X42" s="1"/>
      <c r="Y42" s="1"/>
      <c r="Z42" s="1"/>
      <c r="AA42" s="1"/>
    </row>
    <row r="43">
      <c r="A43" s="1"/>
      <c r="B43" s="192"/>
      <c r="C43" s="192" t="s">
        <v>120</v>
      </c>
      <c r="D43" s="193">
        <f t="shared" si="3"/>
        <v>76.29778215</v>
      </c>
      <c r="E43" s="193">
        <f t="shared" si="4"/>
        <v>16.7306084</v>
      </c>
      <c r="F43" s="1"/>
      <c r="G43" s="1"/>
      <c r="H43" s="1"/>
      <c r="I43" s="1"/>
      <c r="J43" s="1"/>
      <c r="K43" s="1"/>
      <c r="L43" s="196"/>
      <c r="M43" s="1"/>
      <c r="N43" s="1"/>
      <c r="O43" s="1"/>
      <c r="P43" s="1"/>
      <c r="Q43" s="1"/>
      <c r="R43" s="1"/>
      <c r="S43" s="180"/>
      <c r="T43" s="1"/>
      <c r="U43" s="1"/>
      <c r="V43" s="1"/>
      <c r="W43" s="1"/>
      <c r="X43" s="1"/>
      <c r="Y43" s="1"/>
      <c r="Z43" s="1"/>
      <c r="AA43" s="1"/>
    </row>
    <row r="44">
      <c r="A44" s="1"/>
      <c r="B44" s="192"/>
      <c r="C44" s="192" t="s">
        <v>128</v>
      </c>
      <c r="D44" s="193">
        <f t="shared" si="3"/>
        <v>42.88863068</v>
      </c>
      <c r="E44" s="193">
        <f t="shared" si="4"/>
        <v>9.243846133</v>
      </c>
      <c r="F44" s="1"/>
      <c r="G44" s="1"/>
      <c r="H44" s="1"/>
      <c r="I44" s="1"/>
      <c r="J44" s="1"/>
      <c r="K44" s="1"/>
      <c r="L44" s="196"/>
      <c r="M44" s="1"/>
      <c r="N44" s="1"/>
      <c r="O44" s="1"/>
      <c r="P44" s="1"/>
      <c r="Q44" s="1"/>
      <c r="R44" s="1"/>
      <c r="S44" s="180"/>
      <c r="T44" s="1"/>
      <c r="U44" s="1"/>
      <c r="V44" s="1"/>
      <c r="W44" s="1"/>
      <c r="X44" s="1"/>
      <c r="Y44" s="1"/>
      <c r="Z44" s="1"/>
      <c r="AA44" s="1"/>
    </row>
    <row r="45">
      <c r="A45" s="1"/>
      <c r="B45" s="192"/>
      <c r="C45" s="192" t="s">
        <v>131</v>
      </c>
      <c r="D45" s="193">
        <f t="shared" si="3"/>
        <v>76.29778215</v>
      </c>
      <c r="E45" s="193">
        <f t="shared" si="4"/>
        <v>16.7306084</v>
      </c>
      <c r="F45" s="1"/>
      <c r="G45" s="1"/>
      <c r="H45" s="1"/>
      <c r="I45" s="1"/>
      <c r="J45" s="1"/>
      <c r="K45" s="1"/>
      <c r="L45" s="196"/>
      <c r="M45" s="1"/>
      <c r="N45" s="1"/>
      <c r="O45" s="1"/>
      <c r="P45" s="1"/>
      <c r="Q45" s="1"/>
      <c r="R45" s="1"/>
      <c r="S45" s="180"/>
      <c r="T45" s="1"/>
      <c r="U45" s="1"/>
      <c r="V45" s="1"/>
      <c r="W45" s="1"/>
      <c r="X45" s="1"/>
      <c r="Y45" s="1"/>
      <c r="Z45" s="1"/>
      <c r="AA45" s="1"/>
    </row>
    <row r="46">
      <c r="A46" s="1"/>
      <c r="B46" s="192"/>
      <c r="C46" s="192" t="s">
        <v>133</v>
      </c>
      <c r="D46" s="193">
        <f t="shared" si="3"/>
        <v>91.96757739</v>
      </c>
      <c r="E46" s="193">
        <f t="shared" si="4"/>
        <v>19.04030864</v>
      </c>
      <c r="F46" s="1"/>
      <c r="G46" s="1"/>
      <c r="H46" s="1"/>
      <c r="I46" s="1"/>
      <c r="J46" s="1"/>
      <c r="K46" s="1"/>
      <c r="L46" s="196"/>
      <c r="M46" s="1"/>
      <c r="N46" s="1"/>
      <c r="O46" s="1"/>
      <c r="P46" s="1"/>
      <c r="Q46" s="1"/>
      <c r="R46" s="1"/>
      <c r="S46" s="180"/>
      <c r="T46" s="1"/>
      <c r="U46" s="1"/>
      <c r="V46" s="1"/>
      <c r="W46" s="1"/>
      <c r="X46" s="1"/>
      <c r="Y46" s="1"/>
      <c r="Z46" s="1"/>
      <c r="AA46" s="1"/>
    </row>
    <row r="47">
      <c r="A47" s="1"/>
      <c r="B47" s="192"/>
      <c r="C47" s="192" t="s">
        <v>134</v>
      </c>
      <c r="D47" s="193">
        <f t="shared" si="3"/>
        <v>86.86670785</v>
      </c>
      <c r="E47" s="193">
        <f t="shared" si="4"/>
        <v>86.86670785</v>
      </c>
      <c r="F47" s="1"/>
      <c r="G47" s="1"/>
      <c r="H47" s="1"/>
      <c r="I47" s="1"/>
      <c r="J47" s="1"/>
      <c r="K47" s="1"/>
      <c r="L47" s="196"/>
      <c r="M47" s="1"/>
      <c r="N47" s="1"/>
      <c r="O47" s="1"/>
      <c r="P47" s="1"/>
      <c r="Q47" s="1"/>
      <c r="R47" s="1"/>
      <c r="S47" s="180"/>
      <c r="T47" s="1"/>
      <c r="U47" s="1"/>
      <c r="V47" s="1"/>
      <c r="W47" s="1"/>
      <c r="X47" s="1"/>
      <c r="Y47" s="1"/>
      <c r="Z47" s="1"/>
      <c r="AA47" s="1"/>
    </row>
    <row r="48">
      <c r="A48" s="1"/>
      <c r="B48" s="192"/>
      <c r="C48" s="192" t="s">
        <v>142</v>
      </c>
      <c r="D48" s="193">
        <f t="shared" si="3"/>
        <v>11.67838264</v>
      </c>
      <c r="E48" s="193">
        <f t="shared" si="4"/>
        <v>10.77247127</v>
      </c>
      <c r="F48" s="1"/>
      <c r="G48" s="1"/>
      <c r="H48" s="1"/>
      <c r="I48" s="1"/>
      <c r="J48" s="1"/>
      <c r="K48" s="1"/>
      <c r="L48" s="196"/>
      <c r="M48" s="1"/>
      <c r="N48" s="1"/>
      <c r="O48" s="1"/>
      <c r="P48" s="1"/>
      <c r="Q48" s="1"/>
      <c r="R48" s="1"/>
      <c r="S48" s="180"/>
      <c r="T48" s="1"/>
      <c r="U48" s="1"/>
      <c r="V48" s="1"/>
      <c r="W48" s="1"/>
      <c r="X48" s="1"/>
      <c r="Y48" s="1"/>
      <c r="Z48" s="1"/>
      <c r="AA48" s="1"/>
    </row>
    <row r="49">
      <c r="A49" s="1"/>
      <c r="B49" s="192"/>
      <c r="C49" s="192" t="s">
        <v>152</v>
      </c>
      <c r="D49" s="193">
        <f t="shared" si="3"/>
        <v>47.52139631</v>
      </c>
      <c r="E49" s="193">
        <f t="shared" si="4"/>
        <v>38.24223931</v>
      </c>
      <c r="F49" s="1"/>
      <c r="G49" s="1"/>
      <c r="H49" s="1"/>
      <c r="I49" s="1"/>
      <c r="J49" s="1"/>
      <c r="K49" s="1"/>
      <c r="L49" s="196"/>
      <c r="M49" s="1"/>
      <c r="N49" s="1"/>
      <c r="O49" s="1"/>
      <c r="P49" s="1"/>
      <c r="Q49" s="1"/>
      <c r="R49" s="1"/>
      <c r="S49" s="180"/>
      <c r="T49" s="1"/>
      <c r="U49" s="1"/>
      <c r="V49" s="1"/>
      <c r="W49" s="1"/>
      <c r="X49" s="1"/>
      <c r="Y49" s="1"/>
      <c r="Z49" s="1"/>
      <c r="AA49" s="1"/>
    </row>
    <row r="50">
      <c r="A50" s="1"/>
      <c r="B50" s="192"/>
      <c r="C50" s="192" t="s">
        <v>156</v>
      </c>
      <c r="D50" s="193">
        <f t="shared" si="3"/>
        <v>11.02217745</v>
      </c>
      <c r="E50" s="193">
        <f t="shared" si="4"/>
        <v>5.347045399</v>
      </c>
      <c r="F50" s="1"/>
      <c r="G50" s="1"/>
      <c r="H50" s="1"/>
      <c r="I50" s="1"/>
      <c r="J50" s="1"/>
      <c r="K50" s="1"/>
      <c r="L50" s="196"/>
      <c r="M50" s="1"/>
      <c r="N50" s="1"/>
      <c r="O50" s="1"/>
      <c r="P50" s="1"/>
      <c r="Q50" s="1"/>
      <c r="R50" s="1"/>
      <c r="S50" s="180"/>
      <c r="T50" s="1"/>
      <c r="U50" s="1"/>
      <c r="V50" s="1"/>
      <c r="W50" s="1"/>
      <c r="X50" s="1"/>
      <c r="Y50" s="1"/>
      <c r="Z50" s="1"/>
      <c r="AA50" s="1"/>
    </row>
    <row r="51">
      <c r="A51" s="1"/>
      <c r="B51" s="198"/>
      <c r="C51" s="198" t="s">
        <v>161</v>
      </c>
      <c r="D51" s="199">
        <f t="shared" si="3"/>
        <v>38.27344886</v>
      </c>
      <c r="E51" s="199">
        <f t="shared" si="4"/>
        <v>25.61799967</v>
      </c>
      <c r="F51" s="1"/>
      <c r="G51" s="1"/>
      <c r="H51" s="1"/>
      <c r="I51" s="1"/>
      <c r="J51" s="1"/>
      <c r="K51" s="1"/>
      <c r="L51" s="196"/>
      <c r="M51" s="1"/>
      <c r="N51" s="1"/>
      <c r="O51" s="1"/>
      <c r="P51" s="1"/>
      <c r="Q51" s="1"/>
      <c r="R51" s="1"/>
      <c r="S51" s="180"/>
      <c r="T51" s="1"/>
      <c r="U51" s="1"/>
      <c r="V51" s="1"/>
      <c r="W51" s="1"/>
      <c r="X51" s="1"/>
      <c r="Y51" s="1"/>
      <c r="Z51" s="1"/>
      <c r="AA51" s="1"/>
    </row>
    <row r="52">
      <c r="A52" s="1"/>
      <c r="K52" s="1"/>
      <c r="L52" s="196"/>
      <c r="M52" s="1"/>
      <c r="N52" s="1"/>
      <c r="O52" s="1"/>
      <c r="P52" s="1"/>
      <c r="Q52" s="1"/>
      <c r="R52" s="1"/>
      <c r="S52" s="180"/>
      <c r="T52" s="1"/>
      <c r="U52" s="1"/>
      <c r="V52" s="1"/>
      <c r="W52" s="1"/>
      <c r="X52" s="1"/>
      <c r="Y52" s="1"/>
      <c r="Z52" s="1"/>
      <c r="AA52" s="1"/>
    </row>
    <row r="53">
      <c r="A53" s="1"/>
      <c r="L53" s="1"/>
      <c r="M53" s="1"/>
      <c r="N53" s="1"/>
      <c r="O53" s="1"/>
      <c r="P53" s="1"/>
      <c r="Q53" s="1"/>
      <c r="R53" s="1"/>
      <c r="S53" s="180"/>
      <c r="T53" s="1"/>
      <c r="U53" s="1"/>
      <c r="V53" s="1"/>
      <c r="W53" s="1"/>
      <c r="X53" s="1"/>
      <c r="Y53" s="1"/>
      <c r="Z53" s="1"/>
      <c r="AA53" s="1"/>
    </row>
    <row r="54">
      <c r="A54" s="1"/>
      <c r="L54" s="1"/>
      <c r="M54" s="1"/>
      <c r="N54" s="1"/>
      <c r="O54" s="1"/>
      <c r="P54" s="1"/>
      <c r="Q54" s="1"/>
      <c r="R54" s="1"/>
      <c r="S54" s="180"/>
      <c r="T54" s="1"/>
      <c r="U54" s="1"/>
      <c r="V54" s="1"/>
      <c r="W54" s="1"/>
      <c r="X54" s="1"/>
      <c r="Y54" s="1"/>
      <c r="Z54" s="1"/>
      <c r="AA54" s="1"/>
    </row>
    <row r="55">
      <c r="A55" s="1"/>
      <c r="L55" s="1"/>
      <c r="M55" s="1"/>
      <c r="N55" s="1"/>
      <c r="O55" s="1"/>
      <c r="P55" s="1"/>
      <c r="Q55" s="1"/>
      <c r="R55" s="1"/>
      <c r="S55" s="180"/>
      <c r="T55" s="1"/>
      <c r="U55" s="1"/>
      <c r="V55" s="1"/>
      <c r="W55" s="1"/>
      <c r="X55" s="1"/>
      <c r="Y55" s="1"/>
      <c r="Z55" s="1"/>
      <c r="AA55" s="1"/>
    </row>
    <row r="56">
      <c r="A56" s="1"/>
      <c r="L56" s="196"/>
      <c r="M56" s="1"/>
      <c r="N56" s="1"/>
      <c r="O56" s="1"/>
      <c r="P56" s="1"/>
      <c r="Q56" s="1"/>
      <c r="R56" s="1"/>
      <c r="S56" s="180"/>
      <c r="T56" s="1"/>
      <c r="U56" s="1"/>
      <c r="V56" s="1"/>
      <c r="W56" s="1"/>
      <c r="X56" s="1"/>
      <c r="Y56" s="1"/>
      <c r="Z56" s="1"/>
      <c r="AA56" s="1"/>
    </row>
    <row r="57">
      <c r="A57" s="1"/>
      <c r="L57" s="196"/>
      <c r="M57" s="1"/>
      <c r="N57" s="1"/>
      <c r="O57" s="1"/>
      <c r="P57" s="1"/>
      <c r="Q57" s="1"/>
      <c r="R57" s="1"/>
      <c r="S57" s="180"/>
      <c r="T57" s="1"/>
      <c r="U57" s="1"/>
      <c r="V57" s="1"/>
      <c r="W57" s="1"/>
      <c r="X57" s="1"/>
      <c r="Y57" s="1"/>
      <c r="Z57" s="1"/>
      <c r="AA57" s="1"/>
    </row>
    <row r="58">
      <c r="A58" s="1"/>
      <c r="L58" s="196"/>
      <c r="M58" s="1"/>
      <c r="N58" s="1"/>
      <c r="O58" s="1"/>
      <c r="P58" s="1"/>
      <c r="Q58" s="1"/>
      <c r="R58" s="1"/>
      <c r="S58" s="180"/>
      <c r="T58" s="1"/>
      <c r="U58" s="1"/>
      <c r="V58" s="1"/>
      <c r="W58" s="1"/>
      <c r="X58" s="1"/>
      <c r="Y58" s="1"/>
      <c r="Z58" s="1"/>
      <c r="AA58" s="1"/>
    </row>
    <row r="59">
      <c r="A59" s="1"/>
      <c r="L59" s="196"/>
      <c r="M59" s="1"/>
      <c r="N59" s="1"/>
      <c r="O59" s="1"/>
      <c r="P59" s="1"/>
      <c r="Q59" s="1"/>
      <c r="R59" s="1"/>
      <c r="S59" s="180"/>
      <c r="T59" s="1"/>
      <c r="U59" s="1"/>
      <c r="V59" s="1"/>
      <c r="W59" s="1"/>
      <c r="X59" s="1"/>
      <c r="Y59" s="1"/>
      <c r="Z59" s="1"/>
      <c r="AA59" s="1"/>
    </row>
    <row r="60">
      <c r="A60" s="1"/>
      <c r="L60" s="196"/>
      <c r="M60" s="1"/>
      <c r="N60" s="1"/>
      <c r="O60" s="1"/>
      <c r="P60" s="1"/>
      <c r="Q60" s="1"/>
      <c r="R60" s="1"/>
      <c r="S60" s="180"/>
      <c r="T60" s="1"/>
      <c r="U60" s="1"/>
      <c r="V60" s="1"/>
      <c r="W60" s="1"/>
      <c r="X60" s="1"/>
      <c r="Y60" s="1"/>
      <c r="Z60" s="1"/>
      <c r="AA60" s="1"/>
    </row>
    <row r="61">
      <c r="A61" s="1"/>
      <c r="L61" s="196"/>
      <c r="M61" s="1"/>
      <c r="N61" s="1"/>
      <c r="O61" s="1"/>
      <c r="P61" s="1"/>
      <c r="Q61" s="1"/>
      <c r="R61" s="1"/>
      <c r="S61" s="180"/>
      <c r="T61" s="1"/>
      <c r="U61" s="1"/>
      <c r="V61" s="1"/>
      <c r="W61" s="1"/>
      <c r="X61" s="1"/>
      <c r="Y61" s="1"/>
      <c r="Z61" s="1"/>
      <c r="AA61" s="1"/>
    </row>
    <row r="62">
      <c r="A62" s="1"/>
      <c r="L62" s="196"/>
      <c r="M62" s="1"/>
      <c r="N62" s="1"/>
      <c r="O62" s="1"/>
      <c r="P62" s="1"/>
      <c r="Q62" s="1"/>
      <c r="R62" s="1"/>
      <c r="S62" s="180"/>
      <c r="T62" s="1"/>
      <c r="U62" s="1"/>
      <c r="V62" s="1"/>
      <c r="W62" s="1"/>
      <c r="X62" s="1"/>
      <c r="Y62" s="1"/>
      <c r="Z62" s="1"/>
      <c r="AA62" s="1"/>
    </row>
    <row r="63">
      <c r="A63" s="1"/>
      <c r="L63" s="196"/>
      <c r="M63" s="1"/>
      <c r="N63" s="1"/>
      <c r="O63" s="1"/>
      <c r="P63" s="1"/>
      <c r="Q63" s="1"/>
      <c r="R63" s="1"/>
      <c r="S63" s="180"/>
      <c r="T63" s="1"/>
      <c r="U63" s="1"/>
      <c r="V63" s="1"/>
      <c r="W63" s="1"/>
      <c r="X63" s="1"/>
      <c r="Y63" s="1"/>
      <c r="Z63" s="1"/>
      <c r="AA63" s="1"/>
    </row>
    <row r="64">
      <c r="A64" s="1"/>
      <c r="L64" s="196"/>
      <c r="M64" s="1"/>
      <c r="N64" s="1"/>
      <c r="O64" s="1"/>
      <c r="P64" s="1"/>
      <c r="Q64" s="1"/>
      <c r="R64" s="1"/>
      <c r="S64" s="180"/>
      <c r="T64" s="1"/>
      <c r="U64" s="1"/>
      <c r="V64" s="1"/>
      <c r="W64" s="1"/>
      <c r="X64" s="1"/>
      <c r="Y64" s="1"/>
      <c r="Z64" s="1"/>
      <c r="AA64" s="1"/>
    </row>
    <row r="65">
      <c r="A65" s="1"/>
      <c r="L65" s="196"/>
      <c r="M65" s="1"/>
      <c r="N65" s="1"/>
      <c r="O65" s="1"/>
      <c r="P65" s="1"/>
      <c r="Q65" s="1"/>
      <c r="R65" s="1"/>
      <c r="S65" s="180"/>
      <c r="T65" s="1"/>
      <c r="U65" s="1"/>
      <c r="V65" s="1"/>
      <c r="W65" s="1"/>
      <c r="X65" s="1"/>
      <c r="Y65" s="1"/>
      <c r="Z65" s="1"/>
      <c r="AA65" s="1"/>
    </row>
    <row r="66">
      <c r="A66" s="1"/>
      <c r="L66" s="196"/>
      <c r="M66" s="1"/>
      <c r="N66" s="1"/>
      <c r="O66" s="1"/>
      <c r="P66" s="1"/>
      <c r="Q66" s="1"/>
      <c r="R66" s="1"/>
      <c r="S66" s="180"/>
      <c r="T66" s="1"/>
      <c r="U66" s="1"/>
      <c r="V66" s="1"/>
      <c r="W66" s="1"/>
      <c r="X66" s="1"/>
      <c r="Y66" s="1"/>
      <c r="Z66" s="1"/>
      <c r="AA66" s="1"/>
    </row>
    <row r="67">
      <c r="A67" s="1"/>
      <c r="L67" s="196"/>
      <c r="M67" s="1"/>
      <c r="N67" s="1"/>
      <c r="O67" s="1"/>
      <c r="P67" s="1"/>
      <c r="Q67" s="1"/>
      <c r="R67" s="1"/>
      <c r="S67" s="180"/>
      <c r="T67" s="1"/>
      <c r="U67" s="1"/>
      <c r="V67" s="1"/>
      <c r="W67" s="1"/>
      <c r="X67" s="1"/>
      <c r="Y67" s="1"/>
      <c r="Z67" s="1"/>
      <c r="AA67" s="1"/>
    </row>
    <row r="68">
      <c r="A68" s="1"/>
      <c r="L68" s="1"/>
      <c r="M68" s="1"/>
      <c r="N68" s="1"/>
      <c r="O68" s="1"/>
      <c r="P68" s="1"/>
      <c r="Q68" s="1"/>
      <c r="R68" s="1"/>
      <c r="S68" s="180"/>
      <c r="T68" s="1"/>
      <c r="U68" s="1"/>
      <c r="V68" s="1"/>
      <c r="W68" s="1"/>
      <c r="X68" s="1"/>
      <c r="Y68" s="1"/>
      <c r="Z68" s="1"/>
      <c r="AA68" s="1"/>
    </row>
    <row r="69">
      <c r="A69" s="1"/>
      <c r="L69" s="1"/>
      <c r="M69" s="1"/>
      <c r="N69" s="1"/>
      <c r="O69" s="1"/>
      <c r="P69" s="1"/>
      <c r="Q69" s="1"/>
      <c r="R69" s="1"/>
      <c r="S69" s="180"/>
      <c r="T69" s="1"/>
      <c r="U69" s="1"/>
      <c r="V69" s="1"/>
      <c r="W69" s="1"/>
      <c r="X69" s="1"/>
      <c r="Y69" s="1"/>
      <c r="Z69" s="1"/>
      <c r="AA69" s="1"/>
    </row>
    <row r="70">
      <c r="A70" s="1"/>
      <c r="L70" s="1"/>
      <c r="M70" s="1"/>
      <c r="N70" s="1"/>
      <c r="O70" s="1"/>
      <c r="P70" s="1"/>
      <c r="Q70" s="1"/>
      <c r="R70" s="1"/>
      <c r="S70" s="180"/>
      <c r="T70" s="1"/>
      <c r="U70" s="1"/>
      <c r="V70" s="1"/>
      <c r="W70" s="1"/>
      <c r="X70" s="1"/>
      <c r="Y70" s="1"/>
      <c r="Z70" s="1"/>
      <c r="AA70" s="1"/>
    </row>
    <row r="71">
      <c r="A71" s="1"/>
      <c r="L71" s="1"/>
      <c r="M71" s="1"/>
      <c r="N71" s="1"/>
      <c r="O71" s="1"/>
      <c r="P71" s="1"/>
      <c r="Q71" s="1"/>
      <c r="R71" s="1"/>
      <c r="S71" s="180"/>
      <c r="T71" s="1"/>
      <c r="U71" s="1"/>
      <c r="V71" s="1"/>
      <c r="W71" s="1"/>
      <c r="X71" s="1"/>
      <c r="Y71" s="1"/>
      <c r="Z71" s="1"/>
      <c r="AA71" s="1"/>
    </row>
    <row r="72">
      <c r="A72" s="1"/>
      <c r="L72" s="1"/>
      <c r="M72" s="1"/>
      <c r="N72" s="1"/>
      <c r="O72" s="1"/>
      <c r="P72" s="1"/>
      <c r="Q72" s="1"/>
      <c r="R72" s="1"/>
      <c r="S72" s="180"/>
      <c r="T72" s="1"/>
      <c r="U72" s="1"/>
      <c r="V72" s="1"/>
      <c r="W72" s="1"/>
      <c r="X72" s="1"/>
      <c r="Y72" s="1"/>
      <c r="Z72" s="1"/>
      <c r="AA72" s="1"/>
    </row>
    <row r="73">
      <c r="A73" s="1"/>
      <c r="L73" s="1"/>
      <c r="M73" s="1"/>
      <c r="N73" s="1"/>
      <c r="O73" s="1"/>
      <c r="P73" s="1"/>
      <c r="Q73" s="1"/>
      <c r="R73" s="1"/>
      <c r="S73" s="180"/>
      <c r="T73" s="1"/>
      <c r="U73" s="1"/>
      <c r="V73" s="1"/>
      <c r="W73" s="1"/>
      <c r="X73" s="1"/>
      <c r="Y73" s="1"/>
      <c r="Z73" s="1"/>
      <c r="AA73" s="1"/>
    </row>
    <row r="74">
      <c r="A74" s="1"/>
      <c r="L74" s="1"/>
      <c r="M74" s="1"/>
      <c r="N74" s="1"/>
      <c r="O74" s="1"/>
      <c r="P74" s="1"/>
      <c r="Q74" s="1"/>
      <c r="R74" s="1"/>
      <c r="S74" s="180"/>
      <c r="T74" s="1"/>
      <c r="U74" s="1"/>
      <c r="V74" s="1"/>
      <c r="W74" s="1"/>
      <c r="X74" s="1"/>
      <c r="Y74" s="1"/>
      <c r="Z74" s="1"/>
      <c r="AA74" s="1"/>
    </row>
    <row r="75">
      <c r="A75" s="1"/>
      <c r="L75" s="1"/>
      <c r="M75" s="1"/>
      <c r="N75" s="1"/>
      <c r="O75" s="1"/>
      <c r="P75" s="1"/>
      <c r="Q75" s="1"/>
      <c r="R75" s="1"/>
      <c r="S75" s="180"/>
      <c r="T75" s="1"/>
      <c r="U75" s="1"/>
      <c r="V75" s="1"/>
      <c r="W75" s="1"/>
      <c r="X75" s="1"/>
      <c r="Y75" s="1"/>
      <c r="Z75" s="1"/>
      <c r="AA75" s="1"/>
    </row>
    <row r="76">
      <c r="A76" s="1"/>
      <c r="L76" s="1"/>
      <c r="M76" s="1"/>
      <c r="N76" s="1"/>
      <c r="O76" s="1"/>
      <c r="P76" s="1"/>
      <c r="Q76" s="1"/>
      <c r="R76" s="1"/>
      <c r="S76" s="180"/>
      <c r="T76" s="1"/>
      <c r="U76" s="1"/>
      <c r="V76" s="1"/>
      <c r="W76" s="1"/>
      <c r="X76" s="1"/>
      <c r="Y76" s="1"/>
      <c r="Z76" s="1"/>
      <c r="AA76" s="1"/>
    </row>
    <row r="77">
      <c r="A77" s="1"/>
      <c r="L77" s="1"/>
      <c r="M77" s="1"/>
      <c r="N77" s="1"/>
      <c r="O77" s="1"/>
      <c r="P77" s="1"/>
      <c r="Q77" s="1"/>
      <c r="R77" s="1"/>
      <c r="S77" s="180"/>
      <c r="T77" s="1"/>
      <c r="U77" s="1"/>
      <c r="V77" s="1"/>
      <c r="W77" s="1"/>
      <c r="X77" s="1"/>
      <c r="Y77" s="1"/>
      <c r="Z77" s="1"/>
      <c r="AA77" s="1"/>
    </row>
    <row r="78">
      <c r="A78" s="1"/>
      <c r="L78" s="1"/>
      <c r="M78" s="1"/>
      <c r="N78" s="1"/>
      <c r="O78" s="1"/>
      <c r="P78" s="1"/>
      <c r="Q78" s="1"/>
      <c r="R78" s="1"/>
      <c r="S78" s="180"/>
      <c r="T78" s="1"/>
      <c r="U78" s="1"/>
      <c r="V78" s="1"/>
      <c r="W78" s="1"/>
      <c r="X78" s="1"/>
      <c r="Y78" s="1"/>
      <c r="Z78" s="1"/>
      <c r="AA78" s="1"/>
    </row>
    <row r="79">
      <c r="A79" s="1"/>
      <c r="L79" s="1"/>
      <c r="M79" s="1"/>
      <c r="N79" s="1"/>
      <c r="O79" s="1"/>
      <c r="P79" s="1"/>
      <c r="Q79" s="1"/>
      <c r="R79" s="1"/>
      <c r="S79" s="180"/>
      <c r="T79" s="1"/>
      <c r="U79" s="1"/>
      <c r="V79" s="1"/>
      <c r="W79" s="1"/>
      <c r="X79" s="1"/>
      <c r="Y79" s="1"/>
      <c r="Z79" s="1"/>
      <c r="AA79" s="1"/>
    </row>
    <row r="80">
      <c r="A80" s="1"/>
      <c r="L80" s="1"/>
      <c r="M80" s="1"/>
      <c r="N80" s="1"/>
      <c r="O80" s="1"/>
      <c r="P80" s="1"/>
      <c r="Q80" s="1"/>
      <c r="R80" s="1"/>
      <c r="S80" s="180"/>
      <c r="T80" s="1"/>
      <c r="U80" s="1"/>
      <c r="V80" s="1"/>
      <c r="W80" s="1"/>
      <c r="X80" s="1"/>
      <c r="Y80" s="1"/>
      <c r="Z80" s="1"/>
      <c r="AA80" s="1"/>
    </row>
    <row r="81">
      <c r="A81" s="1"/>
      <c r="L81" s="1"/>
      <c r="M81" s="1"/>
      <c r="N81" s="1"/>
      <c r="O81" s="1"/>
      <c r="P81" s="1"/>
      <c r="Q81" s="1"/>
      <c r="R81" s="1"/>
      <c r="S81" s="180"/>
      <c r="T81" s="1"/>
      <c r="U81" s="1"/>
      <c r="V81" s="1"/>
      <c r="W81" s="1"/>
      <c r="X81" s="1"/>
      <c r="Y81" s="1"/>
      <c r="Z81" s="1"/>
      <c r="AA81" s="1"/>
    </row>
    <row r="82">
      <c r="A82" s="1"/>
      <c r="L82" s="1"/>
      <c r="M82" s="1"/>
      <c r="N82" s="1"/>
      <c r="O82" s="1"/>
      <c r="P82" s="1"/>
      <c r="Q82" s="1"/>
      <c r="R82" s="1"/>
      <c r="S82" s="180"/>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80"/>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80"/>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80"/>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80"/>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80"/>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80"/>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80"/>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80"/>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80"/>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80"/>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80"/>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80"/>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80"/>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80"/>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80"/>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80"/>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80"/>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80"/>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80"/>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80"/>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80"/>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80"/>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80"/>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80"/>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80"/>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80"/>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80"/>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80"/>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80"/>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80"/>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80"/>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80"/>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80"/>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80"/>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80"/>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80"/>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80"/>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80"/>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80"/>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80"/>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80"/>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80"/>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80"/>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80"/>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80"/>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80"/>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80"/>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80"/>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80"/>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80"/>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80"/>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80"/>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80"/>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80"/>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80"/>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80"/>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80"/>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80"/>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80"/>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80"/>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80"/>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80"/>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80"/>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80"/>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80"/>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80"/>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80"/>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80"/>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80"/>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80"/>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80"/>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80"/>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80"/>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80"/>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80"/>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80"/>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80"/>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80"/>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80"/>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80"/>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80"/>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80"/>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80"/>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80"/>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80"/>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80"/>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80"/>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80"/>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80"/>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80"/>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80"/>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80"/>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80"/>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80"/>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80"/>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80"/>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80"/>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80"/>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80"/>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80"/>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80"/>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80"/>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80"/>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80"/>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80"/>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80"/>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80"/>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80"/>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80"/>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80"/>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80"/>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80"/>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80"/>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80"/>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80"/>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80"/>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80"/>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80"/>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80"/>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80"/>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80"/>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80"/>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80"/>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80"/>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80"/>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80"/>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80"/>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80"/>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80"/>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80"/>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80"/>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80"/>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80"/>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80"/>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80"/>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80"/>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80"/>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80"/>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80"/>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80"/>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80"/>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80"/>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80"/>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80"/>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80"/>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80"/>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80"/>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80"/>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80"/>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80"/>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80"/>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80"/>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80"/>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80"/>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80"/>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80"/>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80"/>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80"/>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80"/>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80"/>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80"/>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80"/>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80"/>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80"/>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80"/>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80"/>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80"/>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80"/>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80"/>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80"/>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80"/>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80"/>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80"/>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80"/>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80"/>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80"/>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80"/>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80"/>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80"/>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80"/>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80"/>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80"/>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80"/>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80"/>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80"/>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80"/>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80"/>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80"/>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80"/>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80"/>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80"/>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80"/>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80"/>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80"/>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80"/>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80"/>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80"/>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80"/>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80"/>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80"/>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80"/>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80"/>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80"/>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80"/>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80"/>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80"/>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80"/>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80"/>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80"/>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80"/>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80"/>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80"/>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80"/>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80"/>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80"/>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80"/>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80"/>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80"/>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80"/>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80"/>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80"/>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80"/>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80"/>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80"/>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80"/>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80"/>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80"/>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80"/>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80"/>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80"/>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80"/>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80"/>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80"/>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80"/>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80"/>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80"/>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80"/>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80"/>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80"/>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80"/>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80"/>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80"/>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80"/>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80"/>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80"/>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80"/>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80"/>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80"/>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80"/>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80"/>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80"/>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80"/>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80"/>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80"/>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80"/>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80"/>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80"/>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80"/>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80"/>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80"/>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80"/>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80"/>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80"/>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80"/>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80"/>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80"/>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80"/>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80"/>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80"/>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80"/>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80"/>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80"/>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80"/>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80"/>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80"/>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80"/>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80"/>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80"/>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80"/>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80"/>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80"/>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80"/>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80"/>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80"/>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80"/>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80"/>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80"/>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80"/>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80"/>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80"/>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80"/>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80"/>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80"/>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80"/>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80"/>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80"/>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80"/>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80"/>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80"/>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80"/>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80"/>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80"/>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80"/>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80"/>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80"/>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80"/>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80"/>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80"/>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80"/>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80"/>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80"/>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80"/>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80"/>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80"/>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80"/>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80"/>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80"/>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80"/>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80"/>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80"/>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80"/>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80"/>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80"/>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80"/>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80"/>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80"/>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80"/>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80"/>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80"/>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80"/>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80"/>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80"/>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80"/>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80"/>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80"/>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80"/>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80"/>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80"/>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80"/>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80"/>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80"/>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80"/>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80"/>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80"/>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80"/>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80"/>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80"/>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80"/>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80"/>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80"/>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80"/>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80"/>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80"/>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80"/>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80"/>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80"/>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80"/>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80"/>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80"/>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80"/>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80"/>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80"/>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80"/>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80"/>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80"/>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80"/>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80"/>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80"/>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80"/>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80"/>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80"/>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80"/>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80"/>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80"/>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80"/>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80"/>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80"/>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80"/>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80"/>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80"/>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80"/>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80"/>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80"/>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80"/>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80"/>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80"/>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80"/>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80"/>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80"/>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80"/>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80"/>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80"/>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80"/>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80"/>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80"/>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80"/>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80"/>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80"/>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80"/>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80"/>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80"/>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80"/>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80"/>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80"/>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80"/>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80"/>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80"/>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80"/>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80"/>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80"/>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80"/>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80"/>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80"/>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80"/>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80"/>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80"/>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80"/>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80"/>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80"/>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80"/>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80"/>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80"/>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80"/>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80"/>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80"/>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80"/>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80"/>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80"/>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80"/>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80"/>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80"/>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80"/>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80"/>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80"/>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80"/>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80"/>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80"/>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80"/>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80"/>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80"/>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80"/>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80"/>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80"/>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80"/>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80"/>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80"/>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80"/>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80"/>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80"/>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80"/>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80"/>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80"/>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80"/>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80"/>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80"/>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80"/>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80"/>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80"/>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80"/>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80"/>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80"/>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80"/>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80"/>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80"/>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80"/>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80"/>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80"/>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80"/>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80"/>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80"/>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80"/>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80"/>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80"/>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80"/>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80"/>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80"/>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80"/>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80"/>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80"/>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80"/>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80"/>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80"/>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80"/>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80"/>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80"/>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80"/>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80"/>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80"/>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80"/>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80"/>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80"/>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80"/>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80"/>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80"/>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80"/>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80"/>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80"/>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80"/>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80"/>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80"/>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80"/>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80"/>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80"/>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80"/>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80"/>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80"/>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80"/>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80"/>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80"/>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80"/>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80"/>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80"/>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80"/>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80"/>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80"/>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80"/>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80"/>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80"/>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80"/>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80"/>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80"/>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80"/>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80"/>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80"/>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80"/>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80"/>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80"/>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80"/>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80"/>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80"/>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80"/>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80"/>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80"/>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80"/>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80"/>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80"/>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80"/>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80"/>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80"/>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80"/>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80"/>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80"/>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80"/>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80"/>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80"/>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80"/>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80"/>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80"/>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80"/>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80"/>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80"/>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80"/>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80"/>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80"/>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80"/>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80"/>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80"/>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80"/>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80"/>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80"/>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80"/>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80"/>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80"/>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80"/>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80"/>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80"/>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80"/>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80"/>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80"/>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80"/>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80"/>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80"/>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80"/>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80"/>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80"/>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80"/>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80"/>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80"/>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80"/>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80"/>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80"/>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80"/>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80"/>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80"/>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80"/>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80"/>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80"/>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80"/>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80"/>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80"/>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80"/>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80"/>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80"/>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80"/>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80"/>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80"/>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80"/>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80"/>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80"/>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80"/>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80"/>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80"/>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80"/>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80"/>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80"/>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80"/>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80"/>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80"/>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80"/>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80"/>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80"/>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80"/>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80"/>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80"/>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80"/>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80"/>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80"/>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80"/>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80"/>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80"/>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80"/>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80"/>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80"/>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80"/>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80"/>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80"/>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80"/>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80"/>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80"/>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80"/>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80"/>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80"/>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80"/>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80"/>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80"/>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80"/>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80"/>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80"/>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80"/>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80"/>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80"/>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80"/>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80"/>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80"/>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80"/>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80"/>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80"/>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80"/>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80"/>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80"/>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80"/>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80"/>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80"/>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80"/>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80"/>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80"/>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80"/>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80"/>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80"/>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80"/>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80"/>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80"/>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80"/>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80"/>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80"/>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80"/>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80"/>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80"/>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80"/>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80"/>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80"/>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80"/>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80"/>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80"/>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80"/>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80"/>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80"/>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80"/>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80"/>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80"/>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80"/>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80"/>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80"/>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80"/>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80"/>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80"/>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80"/>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80"/>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80"/>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80"/>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80"/>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80"/>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80"/>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80"/>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80"/>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80"/>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80"/>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80"/>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80"/>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80"/>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80"/>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80"/>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80"/>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80"/>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80"/>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80"/>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80"/>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80"/>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80"/>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80"/>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80"/>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80"/>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80"/>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80"/>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80"/>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80"/>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80"/>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80"/>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80"/>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80"/>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80"/>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80"/>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80"/>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80"/>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80"/>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80"/>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80"/>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80"/>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80"/>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80"/>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80"/>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80"/>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80"/>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80"/>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80"/>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80"/>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80"/>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80"/>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80"/>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80"/>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80"/>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80"/>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80"/>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80"/>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80"/>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80"/>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80"/>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80"/>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80"/>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80"/>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80"/>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80"/>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80"/>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80"/>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80"/>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80"/>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80"/>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80"/>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80"/>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80"/>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80"/>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80"/>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80"/>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80"/>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80"/>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80"/>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80"/>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80"/>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80"/>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80"/>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80"/>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80"/>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80"/>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80"/>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80"/>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80"/>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80"/>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80"/>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80"/>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80"/>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80"/>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80"/>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80"/>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80"/>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80"/>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80"/>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80"/>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80"/>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80"/>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80"/>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80"/>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80"/>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80"/>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80"/>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80"/>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80"/>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80"/>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80"/>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80"/>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80"/>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80"/>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80"/>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80"/>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80"/>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80"/>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80"/>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80"/>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80"/>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80"/>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80"/>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80"/>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80"/>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80"/>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80"/>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80"/>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80"/>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80"/>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80"/>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80"/>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80"/>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80"/>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80"/>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80"/>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80"/>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80"/>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80"/>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80"/>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80"/>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80"/>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80"/>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80"/>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80"/>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80"/>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80"/>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80"/>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80"/>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80"/>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80"/>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80"/>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80"/>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80"/>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80"/>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80"/>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80"/>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80"/>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80"/>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80"/>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80"/>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80"/>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80"/>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80"/>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80"/>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80"/>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80"/>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80"/>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80"/>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80"/>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80"/>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80"/>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80"/>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80"/>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80"/>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80"/>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80"/>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80"/>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80"/>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80"/>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80"/>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80"/>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80"/>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80"/>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80"/>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80"/>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80"/>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80"/>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80"/>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80"/>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80"/>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80"/>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80"/>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80"/>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80"/>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80"/>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80"/>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80"/>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80"/>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80"/>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80"/>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80"/>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80"/>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80"/>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80"/>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80"/>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80"/>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80"/>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80"/>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80"/>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80"/>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80"/>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80"/>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80"/>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80"/>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80"/>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80"/>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80"/>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80"/>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80"/>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80"/>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80"/>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80"/>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80"/>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80"/>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80"/>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80"/>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80"/>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80"/>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80"/>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80"/>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80"/>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80"/>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80"/>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80"/>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80"/>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80"/>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80"/>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80"/>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80"/>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80"/>
      <c r="T1010" s="1"/>
      <c r="U1010" s="1"/>
      <c r="V1010" s="1"/>
      <c r="W1010" s="1"/>
      <c r="X1010" s="1"/>
      <c r="Y1010" s="1"/>
      <c r="Z1010" s="1"/>
      <c r="AA1010"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35.38"/>
    <col customWidth="1" min="2" max="2" width="22.63"/>
    <col customWidth="1" min="3" max="5" width="19.25"/>
    <col collapsed="1" customWidth="1" min="6" max="6" width="12.63"/>
    <col customWidth="1" hidden="1" min="7" max="7" width="17.13" outlineLevel="1"/>
    <col customWidth="1" hidden="1" min="8" max="8" width="19.0" outlineLevel="1"/>
    <col customWidth="1" hidden="1" min="9" max="9" width="17.5" outlineLevel="1"/>
    <col customWidth="1" hidden="1" min="10" max="10" width="17.88" outlineLevel="1"/>
    <col customWidth="1" hidden="1" min="11" max="11" width="12.75" outlineLevel="1"/>
    <col collapsed="1" customWidth="1" min="12" max="12" width="11.5"/>
    <col customWidth="1" hidden="1" min="13" max="13" width="16.0" outlineLevel="1"/>
    <col customWidth="1" hidden="1" min="14" max="14" width="18.0" outlineLevel="1"/>
    <col customWidth="1" hidden="1" min="15" max="15" width="16.38" outlineLevel="1"/>
    <col customWidth="1" hidden="1" min="16" max="16" width="15.75" outlineLevel="1"/>
    <col customWidth="1" hidden="1" min="17" max="17" width="11.63" outlineLevel="1"/>
  </cols>
  <sheetData>
    <row r="1">
      <c r="A1" s="202" t="s">
        <v>183</v>
      </c>
      <c r="B1" s="202" t="s">
        <v>12</v>
      </c>
      <c r="C1" s="202" t="s">
        <v>15</v>
      </c>
      <c r="D1" s="202" t="s">
        <v>18</v>
      </c>
      <c r="E1" s="202" t="s">
        <v>20</v>
      </c>
      <c r="F1" s="203" t="s">
        <v>26</v>
      </c>
      <c r="G1" s="203" t="s">
        <v>28</v>
      </c>
      <c r="H1" s="203" t="s">
        <v>29</v>
      </c>
      <c r="I1" s="203" t="s">
        <v>31</v>
      </c>
      <c r="J1" s="203" t="s">
        <v>184</v>
      </c>
      <c r="K1" s="203" t="s">
        <v>33</v>
      </c>
      <c r="L1" s="203" t="s">
        <v>34</v>
      </c>
      <c r="M1" s="203" t="s">
        <v>35</v>
      </c>
      <c r="N1" s="203" t="s">
        <v>36</v>
      </c>
      <c r="O1" s="203" t="s">
        <v>37</v>
      </c>
      <c r="P1" s="203" t="s">
        <v>38</v>
      </c>
      <c r="Q1" s="203" t="s">
        <v>39</v>
      </c>
      <c r="R1" s="44"/>
      <c r="S1" s="44"/>
      <c r="T1" s="44"/>
      <c r="U1" s="44"/>
      <c r="V1" s="44"/>
      <c r="W1" s="44"/>
      <c r="X1" s="44"/>
      <c r="Y1" s="44"/>
      <c r="Z1" s="44"/>
      <c r="AA1" s="44"/>
      <c r="AB1" s="44"/>
      <c r="AC1" s="44"/>
    </row>
    <row r="2">
      <c r="A2" s="204"/>
      <c r="B2" s="204"/>
      <c r="C2" s="204"/>
      <c r="D2" s="204"/>
      <c r="E2" s="204"/>
      <c r="F2" s="205" t="s">
        <v>27</v>
      </c>
      <c r="G2" s="205" t="s">
        <v>105</v>
      </c>
      <c r="H2" s="205" t="s">
        <v>106</v>
      </c>
      <c r="I2" s="205" t="s">
        <v>106</v>
      </c>
      <c r="J2" s="205" t="s">
        <v>107</v>
      </c>
      <c r="K2" s="205" t="s">
        <v>107</v>
      </c>
      <c r="L2" s="205" t="s">
        <v>27</v>
      </c>
      <c r="M2" s="205" t="s">
        <v>105</v>
      </c>
      <c r="N2" s="205" t="s">
        <v>106</v>
      </c>
      <c r="O2" s="205" t="s">
        <v>106</v>
      </c>
      <c r="P2" s="205" t="s">
        <v>107</v>
      </c>
      <c r="Q2" s="205" t="s">
        <v>107</v>
      </c>
      <c r="R2" s="206"/>
      <c r="S2" s="206"/>
      <c r="T2" s="206"/>
      <c r="U2" s="206"/>
      <c r="V2" s="206"/>
      <c r="W2" s="206"/>
      <c r="X2" s="206"/>
      <c r="Y2" s="206"/>
      <c r="Z2" s="206"/>
      <c r="AA2" s="206"/>
      <c r="AB2" s="206"/>
      <c r="AC2" s="206"/>
    </row>
    <row r="3">
      <c r="A3" s="207" t="s">
        <v>108</v>
      </c>
      <c r="B3" s="208" t="str">
        <f t="shared" ref="B3:B5" si="1">LEFT(A3,FIND("-",A3) - 2)</f>
        <v>Elia</v>
      </c>
      <c r="C3" s="208"/>
      <c r="D3" s="208" t="s">
        <v>185</v>
      </c>
      <c r="E3" s="207"/>
      <c r="F3" s="109"/>
      <c r="G3" s="209"/>
      <c r="H3" s="210"/>
      <c r="I3" s="210"/>
      <c r="J3" s="209"/>
      <c r="K3" s="210"/>
      <c r="L3" s="209"/>
      <c r="M3" s="211">
        <v>7.5485</v>
      </c>
      <c r="N3" s="103">
        <f>0.395*12</f>
        <v>4.74</v>
      </c>
      <c r="O3" s="212">
        <v>9.826</v>
      </c>
      <c r="P3" s="103">
        <f>2.5949/1000</f>
        <v>0.0025949</v>
      </c>
      <c r="Q3" s="103"/>
    </row>
    <row r="4">
      <c r="A4" s="207" t="s">
        <v>115</v>
      </c>
      <c r="B4" s="208" t="str">
        <f t="shared" si="1"/>
        <v>Elia</v>
      </c>
      <c r="C4" s="208"/>
      <c r="D4" s="208" t="s">
        <v>186</v>
      </c>
      <c r="E4" s="207"/>
      <c r="F4" s="109"/>
      <c r="G4" s="209"/>
      <c r="H4" s="210"/>
      <c r="I4" s="210"/>
      <c r="J4" s="209"/>
      <c r="K4" s="210"/>
      <c r="L4" s="209"/>
      <c r="M4" s="103">
        <v>13.606</v>
      </c>
      <c r="N4" s="103">
        <f>0.6072*12</f>
        <v>7.2864</v>
      </c>
      <c r="O4" s="103">
        <v>14.88</v>
      </c>
      <c r="P4" s="103">
        <f>3.9521/1000</f>
        <v>0.0039521</v>
      </c>
      <c r="Q4" s="103"/>
    </row>
    <row r="5">
      <c r="A5" s="213" t="s">
        <v>118</v>
      </c>
      <c r="B5" s="213" t="str">
        <f t="shared" si="1"/>
        <v>Elia</v>
      </c>
      <c r="C5" s="214"/>
      <c r="D5" s="214" t="s">
        <v>187</v>
      </c>
      <c r="E5" s="213"/>
      <c r="F5" s="123"/>
      <c r="G5" s="215"/>
      <c r="H5" s="216"/>
      <c r="I5" s="216"/>
      <c r="J5" s="215"/>
      <c r="K5" s="216"/>
      <c r="L5" s="215"/>
      <c r="M5" s="118">
        <v>25.1504</v>
      </c>
      <c r="N5" s="118">
        <f>0.8237*12</f>
        <v>9.8844</v>
      </c>
      <c r="O5" s="118">
        <v>19.9574</v>
      </c>
      <c r="P5" s="118">
        <f>6.7469/1000</f>
        <v>0.0067469</v>
      </c>
      <c r="Q5" s="118"/>
    </row>
    <row r="6">
      <c r="A6" s="208" t="s">
        <v>188</v>
      </c>
      <c r="B6" s="208" t="s">
        <v>67</v>
      </c>
      <c r="C6" s="208" t="s">
        <v>189</v>
      </c>
      <c r="D6" s="208" t="s">
        <v>190</v>
      </c>
      <c r="E6" s="208" t="s">
        <v>122</v>
      </c>
      <c r="F6" s="133">
        <v>0.05765</v>
      </c>
      <c r="G6" s="209"/>
      <c r="H6" s="210"/>
      <c r="I6" s="210"/>
      <c r="J6" s="217">
        <v>0.001751</v>
      </c>
      <c r="K6" s="210"/>
      <c r="L6" s="133">
        <v>0.05765</v>
      </c>
      <c r="M6" s="218">
        <v>41.6412648</v>
      </c>
      <c r="N6" s="219">
        <v>56.8450092</v>
      </c>
      <c r="O6" s="103"/>
      <c r="P6" s="220">
        <f>0.0004587+0.0000282
</f>
        <v>0.0004869</v>
      </c>
      <c r="Q6" s="103"/>
    </row>
    <row r="7">
      <c r="A7" s="208" t="s">
        <v>191</v>
      </c>
      <c r="B7" s="208" t="s">
        <v>67</v>
      </c>
      <c r="C7" s="208" t="s">
        <v>189</v>
      </c>
      <c r="D7" s="208" t="s">
        <v>190</v>
      </c>
      <c r="E7" s="208" t="s">
        <v>129</v>
      </c>
      <c r="F7" s="133">
        <v>0.05765</v>
      </c>
      <c r="G7" s="209"/>
      <c r="H7" s="210"/>
      <c r="I7" s="210"/>
      <c r="J7" s="217">
        <v>0.001751</v>
      </c>
      <c r="K7" s="210"/>
      <c r="L7" s="133">
        <v>0.05765</v>
      </c>
      <c r="M7" s="218">
        <v>33.6582672</v>
      </c>
      <c r="N7" s="219">
        <v>54.3035736</v>
      </c>
      <c r="O7" s="103"/>
      <c r="P7" s="220">
        <f>0.0038921+0.0002446
</f>
        <v>0.0041367</v>
      </c>
      <c r="Q7" s="103"/>
    </row>
    <row r="8">
      <c r="A8" s="208" t="s">
        <v>192</v>
      </c>
      <c r="B8" s="208" t="s">
        <v>67</v>
      </c>
      <c r="C8" s="208" t="s">
        <v>189</v>
      </c>
      <c r="D8" s="208" t="s">
        <v>135</v>
      </c>
      <c r="E8" s="208" t="s">
        <v>122</v>
      </c>
      <c r="F8" s="133">
        <v>0.05765</v>
      </c>
      <c r="G8" s="209"/>
      <c r="H8" s="210"/>
      <c r="I8" s="210"/>
      <c r="J8" s="217">
        <v>0.001751</v>
      </c>
      <c r="K8" s="210"/>
      <c r="L8" s="133">
        <v>0.05765</v>
      </c>
      <c r="M8" s="218">
        <v>41.6412648</v>
      </c>
      <c r="N8" s="219">
        <v>56.8450092</v>
      </c>
      <c r="O8" s="103"/>
      <c r="P8" s="220">
        <f>0.0004587+0.0000282
</f>
        <v>0.0004869</v>
      </c>
      <c r="Q8" s="103"/>
    </row>
    <row r="9">
      <c r="A9" s="214" t="s">
        <v>193</v>
      </c>
      <c r="B9" s="214" t="s">
        <v>67</v>
      </c>
      <c r="C9" s="214" t="s">
        <v>189</v>
      </c>
      <c r="D9" s="214" t="s">
        <v>135</v>
      </c>
      <c r="E9" s="214" t="s">
        <v>129</v>
      </c>
      <c r="F9" s="145">
        <v>0.05765</v>
      </c>
      <c r="G9" s="215"/>
      <c r="H9" s="216"/>
      <c r="I9" s="216"/>
      <c r="J9" s="221">
        <v>0.001751</v>
      </c>
      <c r="K9" s="216"/>
      <c r="L9" s="145">
        <v>0.05765</v>
      </c>
      <c r="M9" s="222">
        <v>33.6582672</v>
      </c>
      <c r="N9" s="223">
        <v>54.3035736</v>
      </c>
      <c r="O9" s="118"/>
      <c r="P9" s="224">
        <f>0.0038921+0.0002446
</f>
        <v>0.0041367</v>
      </c>
      <c r="Q9" s="118"/>
    </row>
    <row r="10">
      <c r="A10" s="208" t="s">
        <v>194</v>
      </c>
      <c r="B10" s="208" t="s">
        <v>67</v>
      </c>
      <c r="C10" s="208" t="s">
        <v>195</v>
      </c>
      <c r="D10" s="208" t="s">
        <v>190</v>
      </c>
      <c r="E10" s="208" t="s">
        <v>122</v>
      </c>
      <c r="F10" s="133">
        <v>0.05765</v>
      </c>
      <c r="G10" s="209"/>
      <c r="H10" s="210"/>
      <c r="I10" s="210"/>
      <c r="J10" s="132">
        <v>0.001751</v>
      </c>
      <c r="K10" s="210"/>
      <c r="L10" s="133">
        <v>0.05765</v>
      </c>
      <c r="M10" s="218">
        <v>25.93092</v>
      </c>
      <c r="N10" s="219">
        <v>57.44691</v>
      </c>
      <c r="O10" s="103"/>
      <c r="P10" s="225">
        <f>0.0003705+0.0000315
</f>
        <v>0.000402</v>
      </c>
      <c r="Q10" s="103"/>
    </row>
    <row r="11">
      <c r="A11" s="208" t="s">
        <v>196</v>
      </c>
      <c r="B11" s="208" t="s">
        <v>67</v>
      </c>
      <c r="C11" s="208" t="s">
        <v>195</v>
      </c>
      <c r="D11" s="208" t="s">
        <v>190</v>
      </c>
      <c r="E11" s="208" t="s">
        <v>129</v>
      </c>
      <c r="F11" s="133">
        <v>0.05765</v>
      </c>
      <c r="G11" s="209"/>
      <c r="H11" s="210"/>
      <c r="I11" s="210"/>
      <c r="J11" s="132">
        <v>0.001751</v>
      </c>
      <c r="K11" s="210"/>
      <c r="L11" s="133">
        <v>0.05765</v>
      </c>
      <c r="M11" s="218">
        <v>37.1110092</v>
      </c>
      <c r="N11" s="219">
        <v>60.1395192</v>
      </c>
      <c r="O11" s="103"/>
      <c r="P11" s="220">
        <f>0.0047403+0.0003159
</f>
        <v>0.0050562</v>
      </c>
      <c r="Q11" s="103"/>
    </row>
    <row r="12">
      <c r="A12" s="208" t="s">
        <v>197</v>
      </c>
      <c r="B12" s="208" t="s">
        <v>67</v>
      </c>
      <c r="C12" s="208" t="s">
        <v>195</v>
      </c>
      <c r="D12" s="208" t="s">
        <v>135</v>
      </c>
      <c r="E12" s="208" t="s">
        <v>122</v>
      </c>
      <c r="F12" s="133">
        <v>0.05765</v>
      </c>
      <c r="G12" s="209"/>
      <c r="H12" s="210"/>
      <c r="I12" s="210"/>
      <c r="J12" s="132">
        <v>0.001751</v>
      </c>
      <c r="K12" s="210"/>
      <c r="L12" s="133">
        <v>0.05765</v>
      </c>
      <c r="M12" s="218">
        <v>25.93092</v>
      </c>
      <c r="N12" s="219">
        <v>57.44691</v>
      </c>
      <c r="O12" s="103"/>
      <c r="P12" s="225">
        <f>0.0003705+0.0000315
</f>
        <v>0.000402</v>
      </c>
      <c r="Q12" s="103"/>
    </row>
    <row r="13">
      <c r="A13" s="214" t="s">
        <v>198</v>
      </c>
      <c r="B13" s="214" t="s">
        <v>67</v>
      </c>
      <c r="C13" s="214" t="s">
        <v>195</v>
      </c>
      <c r="D13" s="214" t="s">
        <v>135</v>
      </c>
      <c r="E13" s="214" t="s">
        <v>129</v>
      </c>
      <c r="F13" s="145">
        <v>0.05765</v>
      </c>
      <c r="G13" s="215"/>
      <c r="H13" s="216"/>
      <c r="I13" s="216"/>
      <c r="J13" s="144">
        <v>0.001751</v>
      </c>
      <c r="K13" s="216"/>
      <c r="L13" s="145">
        <v>0.05765</v>
      </c>
      <c r="M13" s="222">
        <v>37.1110092</v>
      </c>
      <c r="N13" s="223">
        <v>60.1395192</v>
      </c>
      <c r="O13" s="118"/>
      <c r="P13" s="224">
        <f>0.0047403+0.0003159
</f>
        <v>0.0050562</v>
      </c>
      <c r="Q13" s="118"/>
    </row>
    <row r="14">
      <c r="A14" s="208" t="s">
        <v>199</v>
      </c>
      <c r="B14" s="208" t="s">
        <v>67</v>
      </c>
      <c r="C14" s="208" t="s">
        <v>200</v>
      </c>
      <c r="D14" s="208" t="s">
        <v>190</v>
      </c>
      <c r="E14" s="208" t="s">
        <v>122</v>
      </c>
      <c r="F14" s="133">
        <v>0.05765</v>
      </c>
      <c r="G14" s="209"/>
      <c r="H14" s="210"/>
      <c r="I14" s="210"/>
      <c r="J14" s="217">
        <v>0.001751</v>
      </c>
      <c r="K14" s="210"/>
      <c r="L14" s="133">
        <v>0.05765</v>
      </c>
      <c r="M14" s="218">
        <v>28.6217448</v>
      </c>
      <c r="N14" s="219">
        <v>39.1871208</v>
      </c>
      <c r="O14" s="103"/>
      <c r="P14" s="220">
        <f>0.0003764+0.0000178
</f>
        <v>0.0003942</v>
      </c>
      <c r="Q14" s="103"/>
    </row>
    <row r="15">
      <c r="A15" s="208" t="s">
        <v>201</v>
      </c>
      <c r="B15" s="208" t="s">
        <v>67</v>
      </c>
      <c r="C15" s="208" t="s">
        <v>200</v>
      </c>
      <c r="D15" s="208" t="s">
        <v>190</v>
      </c>
      <c r="E15" s="208" t="s">
        <v>129</v>
      </c>
      <c r="F15" s="133">
        <v>0.05765</v>
      </c>
      <c r="G15" s="209"/>
      <c r="H15" s="210"/>
      <c r="I15" s="210"/>
      <c r="J15" s="217">
        <v>0.001751</v>
      </c>
      <c r="K15" s="210"/>
      <c r="L15" s="133">
        <v>0.05765</v>
      </c>
      <c r="M15" s="218">
        <v>6.8373552</v>
      </c>
      <c r="N15" s="219">
        <v>9.6334692</v>
      </c>
      <c r="O15" s="103"/>
      <c r="P15" s="220">
        <f>0.0039994+0.0039994</f>
        <v>0.0079988</v>
      </c>
      <c r="Q15" s="103"/>
    </row>
    <row r="16">
      <c r="A16" s="208" t="s">
        <v>202</v>
      </c>
      <c r="B16" s="208" t="s">
        <v>67</v>
      </c>
      <c r="C16" s="208" t="s">
        <v>200</v>
      </c>
      <c r="D16" s="208" t="s">
        <v>135</v>
      </c>
      <c r="E16" s="208" t="s">
        <v>122</v>
      </c>
      <c r="F16" s="133">
        <v>0.05765</v>
      </c>
      <c r="G16" s="209"/>
      <c r="H16" s="210"/>
      <c r="I16" s="210"/>
      <c r="J16" s="217">
        <v>0.001751</v>
      </c>
      <c r="K16" s="210"/>
      <c r="L16" s="133">
        <v>0.05765</v>
      </c>
      <c r="M16" s="218">
        <v>28.6217</v>
      </c>
      <c r="N16" s="219">
        <v>39.1871208</v>
      </c>
      <c r="O16" s="103"/>
      <c r="P16" s="220">
        <f>0.0003764+0.0000178
</f>
        <v>0.0003942</v>
      </c>
      <c r="Q16" s="103"/>
    </row>
    <row r="17">
      <c r="A17" s="214" t="s">
        <v>203</v>
      </c>
      <c r="B17" s="214" t="s">
        <v>67</v>
      </c>
      <c r="C17" s="214" t="s">
        <v>200</v>
      </c>
      <c r="D17" s="214" t="s">
        <v>135</v>
      </c>
      <c r="E17" s="214" t="s">
        <v>129</v>
      </c>
      <c r="F17" s="145">
        <v>0.05765</v>
      </c>
      <c r="G17" s="215"/>
      <c r="H17" s="216"/>
      <c r="I17" s="216"/>
      <c r="J17" s="221">
        <v>0.001751</v>
      </c>
      <c r="K17" s="216"/>
      <c r="L17" s="145">
        <v>0.05765</v>
      </c>
      <c r="M17" s="222">
        <v>31.567734</v>
      </c>
      <c r="N17" s="223">
        <v>46.8630636</v>
      </c>
      <c r="O17" s="118"/>
      <c r="P17" s="224">
        <f>0.0040283+0.0001922</f>
        <v>0.0042205</v>
      </c>
      <c r="Q17" s="118"/>
    </row>
    <row r="18">
      <c r="A18" s="208" t="s">
        <v>204</v>
      </c>
      <c r="B18" s="208" t="s">
        <v>67</v>
      </c>
      <c r="C18" s="208" t="s">
        <v>205</v>
      </c>
      <c r="D18" s="208" t="s">
        <v>190</v>
      </c>
      <c r="E18" s="208" t="s">
        <v>122</v>
      </c>
      <c r="F18" s="133">
        <v>0.05765</v>
      </c>
      <c r="G18" s="209"/>
      <c r="H18" s="210"/>
      <c r="I18" s="210"/>
      <c r="J18" s="226">
        <v>0.001751</v>
      </c>
      <c r="K18" s="210"/>
      <c r="L18" s="133">
        <v>0.05765</v>
      </c>
      <c r="M18" s="218">
        <v>25.6442232</v>
      </c>
      <c r="N18" s="219">
        <v>32.2406844</v>
      </c>
      <c r="O18" s="103"/>
      <c r="P18" s="220">
        <f>0.0003627+0.0000356
</f>
        <v>0.0003983</v>
      </c>
      <c r="Q18" s="103"/>
    </row>
    <row r="19">
      <c r="A19" s="208" t="s">
        <v>206</v>
      </c>
      <c r="B19" s="208" t="s">
        <v>67</v>
      </c>
      <c r="C19" s="208" t="s">
        <v>205</v>
      </c>
      <c r="D19" s="208" t="s">
        <v>190</v>
      </c>
      <c r="E19" s="208" t="s">
        <v>129</v>
      </c>
      <c r="F19" s="133">
        <v>0.05765</v>
      </c>
      <c r="G19" s="209"/>
      <c r="H19" s="210"/>
      <c r="I19" s="210"/>
      <c r="J19" s="226">
        <v>0.001751</v>
      </c>
      <c r="K19" s="210"/>
      <c r="L19" s="133">
        <v>0.05765</v>
      </c>
      <c r="M19" s="218">
        <v>30.4061988</v>
      </c>
      <c r="N19" s="219">
        <v>32.2406844</v>
      </c>
      <c r="O19" s="103"/>
      <c r="P19" s="220">
        <f>0.0051533+0.000696</f>
        <v>0.0058493</v>
      </c>
      <c r="Q19" s="103"/>
    </row>
    <row r="20">
      <c r="A20" s="208" t="s">
        <v>207</v>
      </c>
      <c r="B20" s="208" t="s">
        <v>67</v>
      </c>
      <c r="C20" s="208" t="s">
        <v>205</v>
      </c>
      <c r="D20" s="208" t="s">
        <v>135</v>
      </c>
      <c r="E20" s="208" t="s">
        <v>122</v>
      </c>
      <c r="F20" s="133">
        <v>0.05765</v>
      </c>
      <c r="G20" s="209"/>
      <c r="H20" s="210"/>
      <c r="I20" s="210"/>
      <c r="J20" s="226">
        <v>0.001751</v>
      </c>
      <c r="K20" s="210"/>
      <c r="L20" s="133">
        <v>0.05765</v>
      </c>
      <c r="M20" s="218">
        <v>25.6442232</v>
      </c>
      <c r="N20" s="219">
        <v>32.2406844</v>
      </c>
      <c r="O20" s="103"/>
      <c r="P20" s="220">
        <f>0.0003627+0.0000356
</f>
        <v>0.0003983</v>
      </c>
      <c r="Q20" s="103"/>
    </row>
    <row r="21">
      <c r="A21" s="214" t="s">
        <v>208</v>
      </c>
      <c r="B21" s="214" t="s">
        <v>67</v>
      </c>
      <c r="C21" s="214" t="s">
        <v>205</v>
      </c>
      <c r="D21" s="214" t="s">
        <v>135</v>
      </c>
      <c r="E21" s="214" t="s">
        <v>129</v>
      </c>
      <c r="F21" s="145">
        <v>0.05765</v>
      </c>
      <c r="G21" s="215"/>
      <c r="H21" s="216"/>
      <c r="I21" s="216"/>
      <c r="J21" s="227">
        <v>0.001751</v>
      </c>
      <c r="K21" s="216"/>
      <c r="L21" s="145">
        <v>0.05765</v>
      </c>
      <c r="M21" s="222">
        <v>30.4061988</v>
      </c>
      <c r="N21" s="223">
        <v>48.912096</v>
      </c>
      <c r="O21" s="118"/>
      <c r="P21" s="224">
        <f>0.0051533+0.000696</f>
        <v>0.0058493</v>
      </c>
      <c r="Q21" s="118"/>
    </row>
    <row r="22">
      <c r="A22" s="208" t="s">
        <v>209</v>
      </c>
      <c r="B22" s="208" t="s">
        <v>67</v>
      </c>
      <c r="C22" s="208" t="s">
        <v>210</v>
      </c>
      <c r="D22" s="208" t="s">
        <v>190</v>
      </c>
      <c r="E22" s="208" t="s">
        <v>122</v>
      </c>
      <c r="F22" s="228">
        <v>0.05765</v>
      </c>
      <c r="G22" s="209"/>
      <c r="H22" s="210"/>
      <c r="I22" s="210"/>
      <c r="J22" s="229">
        <v>0.001751</v>
      </c>
      <c r="K22" s="210"/>
      <c r="L22" s="230">
        <v>0.05765</v>
      </c>
      <c r="M22" s="231">
        <v>30.9004704</v>
      </c>
      <c r="N22" s="232">
        <v>43.1829264</v>
      </c>
      <c r="O22" s="103"/>
      <c r="P22" s="220">
        <f>0.0002386+0.0000188</f>
        <v>0.0002574</v>
      </c>
      <c r="Q22" s="103"/>
    </row>
    <row r="23">
      <c r="A23" s="208" t="s">
        <v>211</v>
      </c>
      <c r="B23" s="208" t="s">
        <v>67</v>
      </c>
      <c r="C23" s="208" t="s">
        <v>210</v>
      </c>
      <c r="D23" s="208" t="s">
        <v>190</v>
      </c>
      <c r="E23" s="208" t="s">
        <v>129</v>
      </c>
      <c r="F23" s="228">
        <v>0.05765</v>
      </c>
      <c r="G23" s="209"/>
      <c r="H23" s="210"/>
      <c r="I23" s="210"/>
      <c r="J23" s="229">
        <v>0.001751</v>
      </c>
      <c r="K23" s="210"/>
      <c r="L23" s="230">
        <f>57.6459724/1000</f>
        <v>0.0576459724</v>
      </c>
      <c r="M23" s="231">
        <v>14.6849424</v>
      </c>
      <c r="N23" s="232">
        <v>21.9646632</v>
      </c>
      <c r="O23" s="103"/>
      <c r="P23" s="220">
        <f>0.0035086+0.0001967</f>
        <v>0.0037053</v>
      </c>
      <c r="Q23" s="103"/>
    </row>
    <row r="24">
      <c r="A24" s="208" t="s">
        <v>212</v>
      </c>
      <c r="B24" s="208" t="s">
        <v>67</v>
      </c>
      <c r="C24" s="208" t="s">
        <v>210</v>
      </c>
      <c r="D24" s="208" t="s">
        <v>135</v>
      </c>
      <c r="E24" s="208" t="s">
        <v>122</v>
      </c>
      <c r="F24" s="228">
        <v>0.05765</v>
      </c>
      <c r="G24" s="209"/>
      <c r="H24" s="210"/>
      <c r="I24" s="210"/>
      <c r="J24" s="229">
        <v>0.001751</v>
      </c>
      <c r="K24" s="210"/>
      <c r="L24" s="230">
        <v>0.05765</v>
      </c>
      <c r="M24" s="231">
        <v>30.9004704</v>
      </c>
      <c r="N24" s="232">
        <v>43.1829264</v>
      </c>
      <c r="O24" s="103"/>
      <c r="P24" s="220">
        <f>0.0002386+0.0000188</f>
        <v>0.0002574</v>
      </c>
      <c r="Q24" s="103"/>
    </row>
    <row r="25">
      <c r="A25" s="214" t="s">
        <v>213</v>
      </c>
      <c r="B25" s="214" t="s">
        <v>67</v>
      </c>
      <c r="C25" s="214" t="s">
        <v>210</v>
      </c>
      <c r="D25" s="214" t="s">
        <v>135</v>
      </c>
      <c r="E25" s="214" t="s">
        <v>129</v>
      </c>
      <c r="F25" s="233">
        <v>0.05765</v>
      </c>
      <c r="G25" s="215"/>
      <c r="H25" s="216"/>
      <c r="I25" s="216"/>
      <c r="J25" s="234">
        <v>0.001751</v>
      </c>
      <c r="K25" s="216"/>
      <c r="L25" s="235">
        <v>0.05765</v>
      </c>
      <c r="M25" s="236">
        <v>35.1788388</v>
      </c>
      <c r="N25" s="237">
        <v>50.4530592</v>
      </c>
      <c r="O25" s="118"/>
      <c r="P25" s="224">
        <f>0.003587+0.0002011</f>
        <v>0.0037881</v>
      </c>
      <c r="Q25" s="118"/>
    </row>
    <row r="26">
      <c r="A26" s="208" t="s">
        <v>214</v>
      </c>
      <c r="B26" s="208" t="s">
        <v>67</v>
      </c>
      <c r="C26" s="208" t="s">
        <v>215</v>
      </c>
      <c r="D26" s="208" t="s">
        <v>190</v>
      </c>
      <c r="E26" s="208" t="s">
        <v>122</v>
      </c>
      <c r="F26" s="133">
        <v>0.05765</v>
      </c>
      <c r="G26" s="209"/>
      <c r="H26" s="210"/>
      <c r="I26" s="210"/>
      <c r="J26" s="226">
        <v>0.001751</v>
      </c>
      <c r="K26" s="210"/>
      <c r="L26" s="133">
        <v>0.05765</v>
      </c>
      <c r="M26" s="218">
        <v>35.6765424</v>
      </c>
      <c r="N26" s="219">
        <v>46.19853</v>
      </c>
      <c r="O26" s="103"/>
      <c r="P26" s="238">
        <f>0.0004068+0.0000226
</f>
        <v>0.0004294</v>
      </c>
      <c r="Q26" s="103"/>
    </row>
    <row r="27">
      <c r="A27" s="208" t="s">
        <v>216</v>
      </c>
      <c r="B27" s="208" t="s">
        <v>67</v>
      </c>
      <c r="C27" s="208" t="s">
        <v>215</v>
      </c>
      <c r="D27" s="208" t="s">
        <v>190</v>
      </c>
      <c r="E27" s="208" t="s">
        <v>129</v>
      </c>
      <c r="F27" s="133">
        <v>0.05765</v>
      </c>
      <c r="G27" s="209"/>
      <c r="H27" s="210"/>
      <c r="I27" s="210"/>
      <c r="J27" s="226">
        <v>0.001751</v>
      </c>
      <c r="K27" s="210"/>
      <c r="L27" s="133">
        <v>0.05765</v>
      </c>
      <c r="M27" s="218">
        <v>41.6436</v>
      </c>
      <c r="N27" s="219">
        <v>59.7614052</v>
      </c>
      <c r="O27" s="94"/>
      <c r="P27" s="239">
        <f>0.0040025+0.0002219
</f>
        <v>0.0042244</v>
      </c>
      <c r="Q27" s="96"/>
    </row>
    <row r="28">
      <c r="A28" s="208" t="s">
        <v>217</v>
      </c>
      <c r="B28" s="208" t="s">
        <v>67</v>
      </c>
      <c r="C28" s="208" t="s">
        <v>215</v>
      </c>
      <c r="D28" s="208" t="s">
        <v>135</v>
      </c>
      <c r="E28" s="208" t="s">
        <v>122</v>
      </c>
      <c r="F28" s="133">
        <v>0.05765</v>
      </c>
      <c r="G28" s="209"/>
      <c r="H28" s="210"/>
      <c r="I28" s="210"/>
      <c r="J28" s="226">
        <v>0.001751</v>
      </c>
      <c r="K28" s="210"/>
      <c r="L28" s="133">
        <v>0.05765</v>
      </c>
      <c r="M28" s="218">
        <v>35.6765424</v>
      </c>
      <c r="N28" s="219">
        <v>46.19853</v>
      </c>
      <c r="O28" s="103"/>
      <c r="P28" s="220">
        <f>0.0004068+0.0000226
</f>
        <v>0.0004294</v>
      </c>
      <c r="Q28" s="103"/>
    </row>
    <row r="29">
      <c r="A29" s="214" t="s">
        <v>218</v>
      </c>
      <c r="B29" s="214" t="s">
        <v>67</v>
      </c>
      <c r="C29" s="214" t="s">
        <v>215</v>
      </c>
      <c r="D29" s="214" t="s">
        <v>135</v>
      </c>
      <c r="E29" s="214" t="s">
        <v>129</v>
      </c>
      <c r="F29" s="145">
        <v>0.05765</v>
      </c>
      <c r="G29" s="215"/>
      <c r="H29" s="216"/>
      <c r="I29" s="216"/>
      <c r="J29" s="227">
        <v>0.001751</v>
      </c>
      <c r="K29" s="216"/>
      <c r="L29" s="145">
        <v>0.05765</v>
      </c>
      <c r="M29" s="222">
        <v>41.6436</v>
      </c>
      <c r="N29" s="223">
        <v>59.7614052</v>
      </c>
      <c r="O29" s="118"/>
      <c r="P29" s="224">
        <f>0.0040025+0.0002219
</f>
        <v>0.0042244</v>
      </c>
      <c r="Q29" s="118"/>
    </row>
    <row r="30">
      <c r="A30" s="208" t="s">
        <v>219</v>
      </c>
      <c r="B30" s="208" t="s">
        <v>67</v>
      </c>
      <c r="C30" s="208" t="s">
        <v>220</v>
      </c>
      <c r="D30" s="208" t="s">
        <v>190</v>
      </c>
      <c r="E30" s="208" t="s">
        <v>122</v>
      </c>
      <c r="F30" s="133">
        <v>0.05765</v>
      </c>
      <c r="G30" s="209"/>
      <c r="H30" s="210"/>
      <c r="I30" s="210"/>
      <c r="J30" s="226">
        <v>0.001751</v>
      </c>
      <c r="K30" s="210"/>
      <c r="L30" s="133">
        <v>0.05765</v>
      </c>
      <c r="M30" s="218">
        <v>37.9655376</v>
      </c>
      <c r="N30" s="219">
        <v>47.964726</v>
      </c>
      <c r="O30" s="103"/>
      <c r="P30" s="220">
        <f>0.000368+0.0000271
</f>
        <v>0.0003951</v>
      </c>
      <c r="Q30" s="103"/>
    </row>
    <row r="31">
      <c r="A31" s="208" t="s">
        <v>221</v>
      </c>
      <c r="B31" s="208" t="s">
        <v>67</v>
      </c>
      <c r="C31" s="208" t="s">
        <v>220</v>
      </c>
      <c r="D31" s="208" t="s">
        <v>190</v>
      </c>
      <c r="E31" s="208" t="s">
        <v>129</v>
      </c>
      <c r="F31" s="133">
        <v>0.05765</v>
      </c>
      <c r="G31" s="209"/>
      <c r="H31" s="210"/>
      <c r="I31" s="210"/>
      <c r="J31" s="226">
        <v>0.001751</v>
      </c>
      <c r="K31" s="210"/>
      <c r="L31" s="133">
        <v>0.05765</v>
      </c>
      <c r="M31" s="218">
        <v>40.6844988</v>
      </c>
      <c r="N31" s="219">
        <v>59.85696</v>
      </c>
      <c r="O31" s="103"/>
      <c r="P31" s="220">
        <f>0.0039196+0.0003058
</f>
        <v>0.0042254</v>
      </c>
      <c r="Q31" s="103"/>
    </row>
    <row r="32">
      <c r="A32" s="208" t="s">
        <v>222</v>
      </c>
      <c r="B32" s="208" t="s">
        <v>67</v>
      </c>
      <c r="C32" s="208" t="s">
        <v>220</v>
      </c>
      <c r="D32" s="208" t="s">
        <v>135</v>
      </c>
      <c r="E32" s="208" t="s">
        <v>122</v>
      </c>
      <c r="F32" s="133">
        <v>0.05765</v>
      </c>
      <c r="G32" s="209"/>
      <c r="H32" s="210"/>
      <c r="I32" s="210"/>
      <c r="J32" s="226">
        <v>0.001751</v>
      </c>
      <c r="K32" s="210"/>
      <c r="L32" s="133">
        <v>0.05765</v>
      </c>
      <c r="M32" s="218">
        <v>37.9655376</v>
      </c>
      <c r="N32" s="219">
        <v>47.964726</v>
      </c>
      <c r="O32" s="103"/>
      <c r="P32" s="220">
        <f>0.000368+0.0000271
</f>
        <v>0.0003951</v>
      </c>
      <c r="Q32" s="103"/>
    </row>
    <row r="33">
      <c r="A33" s="214" t="s">
        <v>223</v>
      </c>
      <c r="B33" s="208" t="s">
        <v>67</v>
      </c>
      <c r="C33" s="214" t="s">
        <v>220</v>
      </c>
      <c r="D33" s="214" t="s">
        <v>135</v>
      </c>
      <c r="E33" s="214" t="s">
        <v>129</v>
      </c>
      <c r="F33" s="145">
        <v>0.05765</v>
      </c>
      <c r="G33" s="215"/>
      <c r="H33" s="216"/>
      <c r="I33" s="216"/>
      <c r="J33" s="227">
        <v>0.001751</v>
      </c>
      <c r="K33" s="216"/>
      <c r="L33" s="145">
        <v>0.05765</v>
      </c>
      <c r="M33" s="222">
        <v>40.6844988</v>
      </c>
      <c r="N33" s="223">
        <v>59.85696</v>
      </c>
      <c r="O33" s="118"/>
      <c r="P33" s="220">
        <f>0.0039196+0.0003058
</f>
        <v>0.0042254</v>
      </c>
      <c r="Q33" s="118"/>
    </row>
    <row r="34">
      <c r="A34" s="172" t="s">
        <v>224</v>
      </c>
      <c r="B34" s="240" t="s">
        <v>67</v>
      </c>
      <c r="C34" s="208" t="s">
        <v>225</v>
      </c>
      <c r="D34" s="208" t="s">
        <v>190</v>
      </c>
      <c r="E34" s="208" t="s">
        <v>122</v>
      </c>
      <c r="F34" s="133">
        <v>0.05765</v>
      </c>
      <c r="G34" s="209"/>
      <c r="H34" s="210"/>
      <c r="I34" s="210"/>
      <c r="J34" s="226">
        <v>0.001751</v>
      </c>
      <c r="K34" s="210"/>
      <c r="L34" s="133">
        <v>0.05765</v>
      </c>
      <c r="M34" s="218">
        <v>39.4778064</v>
      </c>
      <c r="N34" s="219">
        <v>46.4718228</v>
      </c>
      <c r="O34" s="103"/>
      <c r="P34" s="238">
        <f>0.0003588+0.0000169
</f>
        <v>0.0003757</v>
      </c>
      <c r="Q34" s="103"/>
    </row>
    <row r="35">
      <c r="A35" s="172" t="s">
        <v>226</v>
      </c>
      <c r="B35" s="241" t="s">
        <v>67</v>
      </c>
      <c r="C35" s="208" t="s">
        <v>225</v>
      </c>
      <c r="D35" s="208" t="s">
        <v>190</v>
      </c>
      <c r="E35" s="208" t="s">
        <v>129</v>
      </c>
      <c r="F35" s="133">
        <v>0.05765</v>
      </c>
      <c r="G35" s="209"/>
      <c r="H35" s="210"/>
      <c r="I35" s="210"/>
      <c r="J35" s="226">
        <v>0.001751</v>
      </c>
      <c r="K35" s="210"/>
      <c r="L35" s="133">
        <v>0.05765</v>
      </c>
      <c r="M35" s="218">
        <v>36.105918</v>
      </c>
      <c r="N35" s="219">
        <v>54.2288988</v>
      </c>
      <c r="O35" s="94"/>
      <c r="P35" s="239">
        <f>0.0037033+0.0002193</f>
        <v>0.0039226</v>
      </c>
      <c r="Q35" s="96"/>
    </row>
    <row r="36">
      <c r="A36" s="172" t="s">
        <v>227</v>
      </c>
      <c r="B36" s="241" t="s">
        <v>67</v>
      </c>
      <c r="C36" s="208" t="s">
        <v>225</v>
      </c>
      <c r="D36" s="208" t="s">
        <v>135</v>
      </c>
      <c r="E36" s="208" t="s">
        <v>122</v>
      </c>
      <c r="F36" s="133">
        <v>0.05765</v>
      </c>
      <c r="G36" s="209"/>
      <c r="H36" s="210"/>
      <c r="I36" s="210"/>
      <c r="J36" s="226">
        <v>0.001751</v>
      </c>
      <c r="K36" s="210"/>
      <c r="L36" s="133">
        <v>0.05765</v>
      </c>
      <c r="M36" s="218">
        <v>39.4778064</v>
      </c>
      <c r="N36" s="219">
        <v>46.4718228</v>
      </c>
      <c r="O36" s="103"/>
      <c r="P36" s="220">
        <f>0.0003588+0.0000169
</f>
        <v>0.0003757</v>
      </c>
      <c r="Q36" s="103"/>
    </row>
    <row r="37">
      <c r="A37" s="242" t="s">
        <v>228</v>
      </c>
      <c r="B37" s="243" t="s">
        <v>67</v>
      </c>
      <c r="C37" s="214" t="s">
        <v>225</v>
      </c>
      <c r="D37" s="214" t="s">
        <v>135</v>
      </c>
      <c r="E37" s="214" t="s">
        <v>129</v>
      </c>
      <c r="F37" s="133">
        <v>0.05765</v>
      </c>
      <c r="G37" s="215"/>
      <c r="H37" s="216"/>
      <c r="I37" s="216"/>
      <c r="J37" s="227">
        <v>0.001751</v>
      </c>
      <c r="K37" s="216"/>
      <c r="L37" s="133">
        <v>0.05765</v>
      </c>
      <c r="M37" s="222">
        <v>36.105918</v>
      </c>
      <c r="N37" s="223">
        <v>54.2288988</v>
      </c>
      <c r="O37" s="118"/>
      <c r="P37" s="220">
        <f>0.0037033+0.0002193</f>
        <v>0.0039226</v>
      </c>
      <c r="Q37" s="118"/>
    </row>
    <row r="38">
      <c r="A38" s="207" t="s">
        <v>134</v>
      </c>
      <c r="B38" s="207" t="str">
        <f t="shared" ref="B38:B43" si="2">LEFT(A38,FIND("-",A38) - 2)</f>
        <v>Sibelga</v>
      </c>
      <c r="C38" s="208"/>
      <c r="D38" s="208" t="s">
        <v>135</v>
      </c>
      <c r="E38" s="208" t="s">
        <v>229</v>
      </c>
      <c r="F38" s="244"/>
      <c r="G38" s="244"/>
      <c r="H38" s="245"/>
      <c r="I38" s="245"/>
      <c r="J38" s="244"/>
      <c r="K38" s="245"/>
      <c r="L38" s="246">
        <f t="shared" ref="L38:L39" si="3">543.11/1000</f>
        <v>0.54311</v>
      </c>
      <c r="M38" s="247"/>
      <c r="N38" s="247">
        <f>59.98*(0.63+327.45/(885+(Calculator!C10*1000)))</f>
        <v>46.02238994</v>
      </c>
      <c r="O38" s="247"/>
      <c r="P38" s="238">
        <f t="shared" ref="P38:P39" si="4">AVERAGE(0.0047539,0.0028523)</f>
        <v>0.0038031</v>
      </c>
      <c r="Q38" s="239">
        <f t="shared" ref="Q38:Q39" si="5"> 0.0002504+0.0043665+0.0013085+0.0033901+0.0214403</f>
        <v>0.0307558</v>
      </c>
    </row>
    <row r="39">
      <c r="A39" s="214" t="s">
        <v>230</v>
      </c>
      <c r="B39" s="214" t="str">
        <f t="shared" si="2"/>
        <v>Sibelga</v>
      </c>
      <c r="C39" s="214"/>
      <c r="D39" s="214" t="s">
        <v>135</v>
      </c>
      <c r="E39" s="214" t="s">
        <v>231</v>
      </c>
      <c r="F39" s="215"/>
      <c r="G39" s="215"/>
      <c r="H39" s="216"/>
      <c r="I39" s="216"/>
      <c r="J39" s="215"/>
      <c r="K39" s="216"/>
      <c r="L39" s="235">
        <f t="shared" si="3"/>
        <v>0.54311</v>
      </c>
      <c r="M39" s="118"/>
      <c r="N39" s="118">
        <f>29.99*(0.63+327.45/(885+(Calculator!C10*1000)))</f>
        <v>23.01119497</v>
      </c>
      <c r="O39" s="118"/>
      <c r="P39" s="224">
        <f t="shared" si="4"/>
        <v>0.0038031</v>
      </c>
      <c r="Q39" s="248">
        <f t="shared" si="5"/>
        <v>0.0307558</v>
      </c>
    </row>
    <row r="40">
      <c r="A40" s="208" t="s">
        <v>232</v>
      </c>
      <c r="B40" s="207" t="str">
        <f t="shared" si="2"/>
        <v>Resa</v>
      </c>
      <c r="C40" s="208"/>
      <c r="D40" s="208" t="s">
        <v>143</v>
      </c>
      <c r="E40" s="208" t="s">
        <v>233</v>
      </c>
      <c r="F40" s="249">
        <f>877.58/1000</f>
        <v>0.87758</v>
      </c>
      <c r="G40" s="228">
        <v>0.4709669</v>
      </c>
      <c r="H40" s="210"/>
      <c r="I40" s="210"/>
      <c r="J40" s="209"/>
      <c r="K40" s="210"/>
      <c r="L40" s="230">
        <f>906.55/1000</f>
        <v>0.90655</v>
      </c>
      <c r="M40" s="103"/>
      <c r="N40" s="220">
        <f>0.4883477*12*(2/3)</f>
        <v>3.9067816</v>
      </c>
      <c r="O40" s="250">
        <f>0.2441738*(1/3)</f>
        <v>0.08139126667</v>
      </c>
      <c r="P40" s="220">
        <f>AVERAGE(0.00056,0.000224)</f>
        <v>0.000392</v>
      </c>
      <c r="Q40" s="239">
        <f>0.0009193+0.0032333+0.0001469+0+0.0002462</f>
        <v>0.0045457</v>
      </c>
    </row>
    <row r="41">
      <c r="A41" s="214" t="s">
        <v>234</v>
      </c>
      <c r="B41" s="213" t="str">
        <f t="shared" si="2"/>
        <v>Resa</v>
      </c>
      <c r="C41" s="214"/>
      <c r="D41" s="214" t="s">
        <v>143</v>
      </c>
      <c r="E41" s="214" t="s">
        <v>129</v>
      </c>
      <c r="F41" s="251">
        <f>665.23/1000</f>
        <v>0.66523</v>
      </c>
      <c r="G41" s="233">
        <v>0.0438992</v>
      </c>
      <c r="H41" s="216"/>
      <c r="I41" s="216"/>
      <c r="J41" s="215"/>
      <c r="K41" s="216"/>
      <c r="L41" s="235">
        <f>796.43/1000</f>
        <v>0.79643</v>
      </c>
      <c r="M41" s="118"/>
      <c r="N41" s="224">
        <f>3.8666833*12*(2/3)</f>
        <v>30.9334664</v>
      </c>
      <c r="O41" s="248">
        <f>1.9333416*(1/3)</f>
        <v>0.6444472</v>
      </c>
      <c r="P41" s="224">
        <f>AVERAGE(0.0071277,0.0028511)</f>
        <v>0.0049894</v>
      </c>
      <c r="Q41" s="248">
        <f>0.0009193+0.0032333+0.0013882+0+0.0023258</f>
        <v>0.0078666</v>
      </c>
    </row>
    <row r="42">
      <c r="A42" s="208" t="s">
        <v>235</v>
      </c>
      <c r="B42" s="207" t="str">
        <f t="shared" si="2"/>
        <v>Ores</v>
      </c>
      <c r="C42" s="208"/>
      <c r="D42" s="208" t="s">
        <v>143</v>
      </c>
      <c r="E42" s="208" t="s">
        <v>233</v>
      </c>
      <c r="F42" s="228">
        <f>877.58/1000</f>
        <v>0.87758</v>
      </c>
      <c r="G42" s="228">
        <v>0.4709669</v>
      </c>
      <c r="H42" s="210"/>
      <c r="I42" s="210"/>
      <c r="J42" s="209"/>
      <c r="K42" s="210"/>
      <c r="L42" s="230">
        <f>875.69/1000</f>
        <v>0.87569</v>
      </c>
      <c r="M42" s="103"/>
      <c r="N42" s="220">
        <f>0.3861749*12*(2/3)</f>
        <v>3.0893992</v>
      </c>
      <c r="O42" s="252">
        <f>0.1930874*(1/3)</f>
        <v>0.06436246667</v>
      </c>
      <c r="P42" s="239">
        <f>AVERAGE(0.0001695,0.0000881)</f>
        <v>0.0001288</v>
      </c>
      <c r="Q42" s="253">
        <f>0.0010523+0.0034069+0.0003103+0.0000353+0.0002124</f>
        <v>0.0050172</v>
      </c>
    </row>
    <row r="43">
      <c r="A43" s="214" t="s">
        <v>236</v>
      </c>
      <c r="B43" s="213" t="str">
        <f t="shared" si="2"/>
        <v>Ores</v>
      </c>
      <c r="C43" s="214"/>
      <c r="D43" s="214" t="s">
        <v>143</v>
      </c>
      <c r="E43" s="214" t="s">
        <v>129</v>
      </c>
      <c r="F43" s="233">
        <f>665.23/1000</f>
        <v>0.66523</v>
      </c>
      <c r="G43" s="233">
        <v>0.0438992</v>
      </c>
      <c r="H43" s="216"/>
      <c r="I43" s="216"/>
      <c r="J43" s="215"/>
      <c r="K43" s="216"/>
      <c r="L43" s="235">
        <f>637.34/1000</f>
        <v>0.63734</v>
      </c>
      <c r="M43" s="118"/>
      <c r="N43" s="224">
        <f>2.7943885*12*(2/3)</f>
        <v>22.355108</v>
      </c>
      <c r="O43" s="254">
        <f>1.3971943*(1/3)</f>
        <v>0.4657314333</v>
      </c>
      <c r="P43" s="248">
        <f>AVERAGE(0.0051818,0.002882)</f>
        <v>0.0040319</v>
      </c>
      <c r="Q43" s="255">
        <f>0.0010738+0.0034069+0.001202+0.000036+0.0028656</f>
        <v>0.0085843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16.38"/>
    <col customWidth="1" min="2" max="2" width="17.75"/>
    <col customWidth="1" min="3" max="3" width="8.38"/>
  </cols>
  <sheetData>
    <row r="1">
      <c r="A1" s="256" t="s">
        <v>12</v>
      </c>
      <c r="B1" s="256" t="s">
        <v>237</v>
      </c>
      <c r="C1" s="256" t="s">
        <v>238</v>
      </c>
    </row>
    <row r="2">
      <c r="A2" s="14" t="s">
        <v>13</v>
      </c>
      <c r="B2" s="14" t="s">
        <v>26</v>
      </c>
      <c r="C2" s="14">
        <v>1.0</v>
      </c>
    </row>
    <row r="3">
      <c r="A3" s="14" t="s">
        <v>13</v>
      </c>
      <c r="B3" s="14" t="s">
        <v>28</v>
      </c>
      <c r="C3" s="14">
        <v>1.0</v>
      </c>
    </row>
    <row r="4">
      <c r="A4" s="14" t="s">
        <v>13</v>
      </c>
      <c r="B4" s="14" t="s">
        <v>29</v>
      </c>
      <c r="C4" s="14">
        <v>1.0</v>
      </c>
    </row>
    <row r="5">
      <c r="A5" s="14" t="s">
        <v>13</v>
      </c>
      <c r="B5" s="14" t="s">
        <v>31</v>
      </c>
      <c r="C5" s="14">
        <v>0.0</v>
      </c>
    </row>
    <row r="6">
      <c r="A6" s="14" t="s">
        <v>13</v>
      </c>
      <c r="B6" s="14" t="s">
        <v>32</v>
      </c>
      <c r="C6" s="14">
        <v>1.0</v>
      </c>
    </row>
    <row r="7">
      <c r="A7" s="14" t="s">
        <v>13</v>
      </c>
      <c r="B7" s="14" t="s">
        <v>33</v>
      </c>
      <c r="C7" s="14">
        <v>0.0</v>
      </c>
    </row>
    <row r="8">
      <c r="A8" s="14" t="s">
        <v>13</v>
      </c>
      <c r="B8" s="14" t="s">
        <v>34</v>
      </c>
      <c r="C8" s="14">
        <v>1.0</v>
      </c>
    </row>
    <row r="9">
      <c r="A9" s="14" t="s">
        <v>13</v>
      </c>
      <c r="B9" s="14" t="s">
        <v>35</v>
      </c>
      <c r="C9" s="14">
        <v>1.0</v>
      </c>
    </row>
    <row r="10">
      <c r="A10" s="14" t="s">
        <v>13</v>
      </c>
      <c r="B10" s="14" t="s">
        <v>36</v>
      </c>
      <c r="C10" s="14">
        <v>0.0</v>
      </c>
    </row>
    <row r="11">
      <c r="A11" s="14" t="s">
        <v>13</v>
      </c>
      <c r="B11" s="14" t="s">
        <v>37</v>
      </c>
      <c r="C11" s="14">
        <v>0.0</v>
      </c>
    </row>
    <row r="12">
      <c r="A12" s="14" t="s">
        <v>13</v>
      </c>
      <c r="B12" s="14" t="s">
        <v>38</v>
      </c>
      <c r="C12" s="14">
        <v>0.0</v>
      </c>
    </row>
    <row r="13">
      <c r="A13" s="14" t="s">
        <v>13</v>
      </c>
      <c r="B13" s="14" t="s">
        <v>39</v>
      </c>
      <c r="C13" s="14">
        <v>0.0</v>
      </c>
    </row>
    <row r="14">
      <c r="A14" s="14" t="s">
        <v>67</v>
      </c>
      <c r="B14" s="14" t="s">
        <v>26</v>
      </c>
      <c r="C14" s="14">
        <v>1.0</v>
      </c>
    </row>
    <row r="15">
      <c r="A15" s="14" t="s">
        <v>67</v>
      </c>
      <c r="B15" s="14" t="s">
        <v>28</v>
      </c>
      <c r="C15" s="14">
        <v>1.0</v>
      </c>
    </row>
    <row r="16">
      <c r="A16" s="14" t="s">
        <v>67</v>
      </c>
      <c r="B16" s="14" t="s">
        <v>29</v>
      </c>
      <c r="C16" s="14">
        <v>1.0</v>
      </c>
    </row>
    <row r="17">
      <c r="A17" s="14" t="s">
        <v>67</v>
      </c>
      <c r="B17" s="14" t="s">
        <v>31</v>
      </c>
      <c r="C17" s="14">
        <v>0.0</v>
      </c>
    </row>
    <row r="18">
      <c r="A18" s="14" t="s">
        <v>67</v>
      </c>
      <c r="B18" s="14" t="s">
        <v>32</v>
      </c>
      <c r="C18" s="14">
        <v>1.0</v>
      </c>
    </row>
    <row r="19">
      <c r="A19" s="14" t="s">
        <v>67</v>
      </c>
      <c r="B19" s="14" t="s">
        <v>33</v>
      </c>
      <c r="C19" s="14">
        <v>0.0</v>
      </c>
    </row>
    <row r="20">
      <c r="A20" s="14" t="s">
        <v>67</v>
      </c>
      <c r="B20" s="14" t="s">
        <v>34</v>
      </c>
      <c r="C20" s="14">
        <v>1.0</v>
      </c>
    </row>
    <row r="21">
      <c r="A21" s="14" t="s">
        <v>67</v>
      </c>
      <c r="B21" s="14" t="s">
        <v>35</v>
      </c>
      <c r="C21" s="14">
        <v>0.2</v>
      </c>
    </row>
    <row r="22">
      <c r="A22" s="14" t="s">
        <v>67</v>
      </c>
      <c r="B22" s="14" t="s">
        <v>36</v>
      </c>
      <c r="C22" s="14">
        <v>0.2</v>
      </c>
    </row>
    <row r="23">
      <c r="A23" s="14" t="s">
        <v>67</v>
      </c>
      <c r="B23" s="14" t="s">
        <v>37</v>
      </c>
      <c r="C23" s="14">
        <v>1.0</v>
      </c>
    </row>
    <row r="24">
      <c r="A24" s="14" t="s">
        <v>67</v>
      </c>
      <c r="B24" s="14" t="s">
        <v>38</v>
      </c>
      <c r="C24" s="14">
        <v>0.0</v>
      </c>
    </row>
    <row r="25">
      <c r="A25" s="14" t="s">
        <v>67</v>
      </c>
      <c r="B25" s="14" t="s">
        <v>39</v>
      </c>
      <c r="C25" s="14">
        <v>0.0</v>
      </c>
    </row>
    <row r="26">
      <c r="A26" s="14" t="s">
        <v>76</v>
      </c>
      <c r="B26" s="14" t="s">
        <v>26</v>
      </c>
      <c r="C26" s="14">
        <v>1.0</v>
      </c>
    </row>
    <row r="27">
      <c r="A27" s="14" t="s">
        <v>76</v>
      </c>
      <c r="B27" s="14" t="s">
        <v>28</v>
      </c>
      <c r="C27" s="14">
        <v>1.0</v>
      </c>
    </row>
    <row r="28">
      <c r="A28" s="14" t="s">
        <v>76</v>
      </c>
      <c r="B28" s="14" t="s">
        <v>29</v>
      </c>
      <c r="C28" s="14">
        <v>1.0</v>
      </c>
    </row>
    <row r="29">
      <c r="A29" s="14" t="s">
        <v>76</v>
      </c>
      <c r="B29" s="14" t="s">
        <v>31</v>
      </c>
      <c r="C29" s="14">
        <v>1.0</v>
      </c>
    </row>
    <row r="30">
      <c r="A30" s="14" t="s">
        <v>76</v>
      </c>
      <c r="B30" s="14" t="s">
        <v>32</v>
      </c>
      <c r="C30" s="14">
        <v>1.0</v>
      </c>
    </row>
    <row r="31">
      <c r="A31" s="14" t="s">
        <v>76</v>
      </c>
      <c r="B31" s="14" t="s">
        <v>33</v>
      </c>
      <c r="C31" s="14">
        <v>1.0</v>
      </c>
    </row>
    <row r="32">
      <c r="A32" s="14" t="s">
        <v>76</v>
      </c>
      <c r="B32" s="14" t="s">
        <v>34</v>
      </c>
      <c r="C32" s="14">
        <v>1.0</v>
      </c>
    </row>
    <row r="33">
      <c r="A33" s="14" t="s">
        <v>76</v>
      </c>
      <c r="B33" s="14" t="s">
        <v>35</v>
      </c>
      <c r="C33" s="14">
        <v>1.0</v>
      </c>
    </row>
    <row r="34">
      <c r="A34" s="14" t="s">
        <v>76</v>
      </c>
      <c r="B34" s="14" t="s">
        <v>36</v>
      </c>
      <c r="C34" s="14">
        <v>1.0</v>
      </c>
    </row>
    <row r="35">
      <c r="A35" s="14" t="s">
        <v>76</v>
      </c>
      <c r="B35" s="14" t="s">
        <v>37</v>
      </c>
      <c r="C35" s="14">
        <v>1.0</v>
      </c>
    </row>
    <row r="36">
      <c r="A36" s="14" t="s">
        <v>76</v>
      </c>
      <c r="B36" s="14" t="s">
        <v>38</v>
      </c>
      <c r="C36" s="14">
        <v>1.0</v>
      </c>
    </row>
    <row r="37">
      <c r="A37" s="14" t="s">
        <v>76</v>
      </c>
      <c r="B37" s="14" t="s">
        <v>39</v>
      </c>
      <c r="C37" s="14">
        <v>1.0</v>
      </c>
    </row>
    <row r="38">
      <c r="A38" s="14" t="s">
        <v>69</v>
      </c>
      <c r="B38" s="14" t="s">
        <v>26</v>
      </c>
      <c r="C38" s="14">
        <v>0.0</v>
      </c>
    </row>
    <row r="39">
      <c r="A39" s="14" t="s">
        <v>69</v>
      </c>
      <c r="B39" s="14" t="s">
        <v>28</v>
      </c>
      <c r="C39" s="14">
        <v>0.0</v>
      </c>
    </row>
    <row r="40">
      <c r="A40" s="14" t="s">
        <v>69</v>
      </c>
      <c r="B40" s="14" t="s">
        <v>29</v>
      </c>
      <c r="C40" s="14">
        <v>0.0</v>
      </c>
    </row>
    <row r="41">
      <c r="A41" s="14" t="s">
        <v>69</v>
      </c>
      <c r="B41" s="14" t="s">
        <v>31</v>
      </c>
      <c r="C41" s="14">
        <v>0.0</v>
      </c>
    </row>
    <row r="42">
      <c r="A42" s="14" t="s">
        <v>69</v>
      </c>
      <c r="B42" s="14" t="s">
        <v>32</v>
      </c>
      <c r="C42" s="14">
        <v>0.0</v>
      </c>
    </row>
    <row r="43">
      <c r="A43" s="14" t="s">
        <v>69</v>
      </c>
      <c r="B43" s="14" t="s">
        <v>33</v>
      </c>
      <c r="C43" s="14">
        <v>0.0</v>
      </c>
    </row>
    <row r="44">
      <c r="A44" s="14" t="s">
        <v>69</v>
      </c>
      <c r="B44" s="14" t="s">
        <v>34</v>
      </c>
      <c r="C44" s="14">
        <v>1.0</v>
      </c>
    </row>
    <row r="45">
      <c r="A45" s="14" t="s">
        <v>69</v>
      </c>
      <c r="B45" s="14" t="s">
        <v>35</v>
      </c>
      <c r="C45" s="14">
        <v>0.0</v>
      </c>
    </row>
    <row r="46">
      <c r="A46" s="14" t="s">
        <v>69</v>
      </c>
      <c r="B46" s="14" t="s">
        <v>36</v>
      </c>
      <c r="C46" s="14">
        <v>1.0</v>
      </c>
    </row>
    <row r="47">
      <c r="A47" s="14" t="s">
        <v>69</v>
      </c>
      <c r="B47" s="14" t="s">
        <v>37</v>
      </c>
      <c r="C47" s="14">
        <v>1.0</v>
      </c>
    </row>
    <row r="48">
      <c r="A48" s="14" t="s">
        <v>69</v>
      </c>
      <c r="B48" s="14" t="s">
        <v>38</v>
      </c>
      <c r="C48" s="14">
        <v>1.0</v>
      </c>
    </row>
    <row r="49">
      <c r="A49" s="14" t="s">
        <v>69</v>
      </c>
      <c r="B49" s="14" t="s">
        <v>39</v>
      </c>
      <c r="C49" s="14">
        <v>1.0</v>
      </c>
    </row>
    <row r="50">
      <c r="A50" s="14" t="s">
        <v>72</v>
      </c>
      <c r="B50" s="14" t="s">
        <v>26</v>
      </c>
      <c r="C50" s="14">
        <v>0.0</v>
      </c>
    </row>
    <row r="51">
      <c r="A51" s="14" t="s">
        <v>72</v>
      </c>
      <c r="B51" s="14" t="s">
        <v>28</v>
      </c>
      <c r="C51" s="14">
        <v>0.0</v>
      </c>
    </row>
    <row r="52">
      <c r="A52" s="14" t="s">
        <v>72</v>
      </c>
      <c r="B52" s="14" t="s">
        <v>29</v>
      </c>
      <c r="C52" s="14">
        <v>0.0</v>
      </c>
    </row>
    <row r="53">
      <c r="A53" s="14" t="s">
        <v>72</v>
      </c>
      <c r="B53" s="14" t="s">
        <v>31</v>
      </c>
      <c r="C53" s="14">
        <v>0.0</v>
      </c>
    </row>
    <row r="54">
      <c r="A54" s="14" t="s">
        <v>72</v>
      </c>
      <c r="B54" s="14" t="s">
        <v>32</v>
      </c>
      <c r="C54" s="14">
        <v>0.0</v>
      </c>
    </row>
    <row r="55">
      <c r="A55" s="14" t="s">
        <v>72</v>
      </c>
      <c r="B55" s="14" t="s">
        <v>33</v>
      </c>
      <c r="C55" s="14">
        <v>0.0</v>
      </c>
    </row>
    <row r="56">
      <c r="A56" s="14" t="s">
        <v>72</v>
      </c>
      <c r="B56" s="14" t="s">
        <v>34</v>
      </c>
      <c r="C56" s="14">
        <v>1.0</v>
      </c>
    </row>
    <row r="57">
      <c r="A57" s="14" t="s">
        <v>72</v>
      </c>
      <c r="B57" s="14" t="s">
        <v>35</v>
      </c>
      <c r="C57" s="14">
        <v>1.0</v>
      </c>
    </row>
    <row r="58">
      <c r="A58" s="14" t="s">
        <v>72</v>
      </c>
      <c r="B58" s="14" t="s">
        <v>36</v>
      </c>
      <c r="C58" s="14">
        <v>1.0</v>
      </c>
    </row>
    <row r="59">
      <c r="A59" s="14" t="s">
        <v>72</v>
      </c>
      <c r="B59" s="14" t="s">
        <v>37</v>
      </c>
      <c r="C59" s="14">
        <v>1.0</v>
      </c>
    </row>
    <row r="60">
      <c r="A60" s="14" t="s">
        <v>72</v>
      </c>
      <c r="B60" s="14" t="s">
        <v>38</v>
      </c>
      <c r="C60" s="14">
        <v>0.15</v>
      </c>
    </row>
    <row r="61">
      <c r="A61" s="14" t="s">
        <v>72</v>
      </c>
      <c r="B61" s="14" t="s">
        <v>39</v>
      </c>
      <c r="C61" s="14">
        <v>0.15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6" max="6" width="15.5"/>
  </cols>
  <sheetData>
    <row r="1">
      <c r="A1" s="8" t="s">
        <v>13</v>
      </c>
      <c r="B1" s="8" t="s">
        <v>67</v>
      </c>
      <c r="C1" s="8" t="s">
        <v>76</v>
      </c>
      <c r="D1" s="8" t="s">
        <v>72</v>
      </c>
      <c r="E1" s="8" t="s">
        <v>69</v>
      </c>
      <c r="F1" s="8" t="s">
        <v>239</v>
      </c>
      <c r="G1" s="8" t="s">
        <v>13</v>
      </c>
      <c r="H1" s="8" t="s">
        <v>67</v>
      </c>
      <c r="I1" s="8" t="s">
        <v>76</v>
      </c>
      <c r="J1" s="8" t="s">
        <v>72</v>
      </c>
      <c r="K1" s="8" t="s">
        <v>69</v>
      </c>
    </row>
    <row r="2">
      <c r="A2" s="14" t="s">
        <v>185</v>
      </c>
      <c r="B2" s="14" t="s">
        <v>190</v>
      </c>
      <c r="C2" s="14" t="s">
        <v>135</v>
      </c>
      <c r="D2" s="14" t="s">
        <v>143</v>
      </c>
      <c r="E2" s="14" t="s">
        <v>143</v>
      </c>
      <c r="F2" s="14" t="s">
        <v>189</v>
      </c>
      <c r="H2" s="14" t="s">
        <v>122</v>
      </c>
      <c r="I2" s="14" t="s">
        <v>229</v>
      </c>
      <c r="J2" s="14" t="s">
        <v>122</v>
      </c>
      <c r="K2" s="14" t="s">
        <v>122</v>
      </c>
    </row>
    <row r="3">
      <c r="A3" s="14" t="s">
        <v>186</v>
      </c>
      <c r="B3" s="14" t="s">
        <v>135</v>
      </c>
      <c r="F3" s="14" t="s">
        <v>195</v>
      </c>
      <c r="H3" s="14" t="s">
        <v>129</v>
      </c>
      <c r="I3" s="14" t="s">
        <v>231</v>
      </c>
      <c r="J3" s="14" t="s">
        <v>129</v>
      </c>
      <c r="K3" s="14" t="s">
        <v>129</v>
      </c>
    </row>
    <row r="4">
      <c r="A4" s="14" t="s">
        <v>187</v>
      </c>
      <c r="F4" s="14" t="s">
        <v>200</v>
      </c>
    </row>
    <row r="5">
      <c r="F5" s="14" t="s">
        <v>205</v>
      </c>
    </row>
    <row r="6">
      <c r="F6" s="14" t="s">
        <v>210</v>
      </c>
    </row>
    <row r="7">
      <c r="F7" s="14" t="s">
        <v>215</v>
      </c>
    </row>
    <row r="8">
      <c r="F8" s="14" t="s">
        <v>220</v>
      </c>
    </row>
    <row r="9">
      <c r="F9" s="14" t="s">
        <v>225</v>
      </c>
    </row>
  </sheetData>
  <drawing r:id="rId1"/>
</worksheet>
</file>