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Pro\Finance\Projets\predictive_dashboard\"/>
    </mc:Choice>
  </mc:AlternateContent>
  <xr:revisionPtr revIDLastSave="0" documentId="8_{F0AF4031-AA72-4A4E-B9C9-52B8F75A3CD0}" xr6:coauthVersionLast="47" xr6:coauthVersionMax="47" xr10:uidLastSave="{00000000-0000-0000-0000-000000000000}"/>
  <bookViews>
    <workbookView xWindow="-108" yWindow="-108" windowWidth="23256" windowHeight="12456" activeTab="2" xr2:uid="{93762990-40DD-49AC-AD9F-CF9A41B9363F}"/>
  </bookViews>
  <sheets>
    <sheet name="total" sheetId="2" r:id="rId1"/>
    <sheet name="Parc Global 23-24 " sheetId="1" r:id="rId2"/>
    <sheet name="Parc global 22-2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78" i="3" l="1"/>
  <c r="BC78" i="3"/>
  <c r="AK63" i="3" s="1" a="1"/>
  <c r="AK63" i="3" s="1"/>
  <c r="AP65" i="3" s="1"/>
  <c r="BB78" i="3"/>
  <c r="X63" i="3"/>
  <c r="X62" i="3"/>
  <c r="S61" i="3"/>
  <c r="S60" i="3"/>
  <c r="F59" i="3"/>
  <c r="B59" i="3"/>
  <c r="F61" i="3" s="1"/>
  <c r="AW57" i="3"/>
  <c r="B57" i="3"/>
  <c r="AU56" i="3"/>
  <c r="AT56" i="3"/>
  <c r="AS56" i="3"/>
  <c r="AR56" i="3"/>
  <c r="AK64" i="3" s="1"/>
  <c r="AP66" i="3" s="1"/>
  <c r="AS55" i="3"/>
  <c r="AR55" i="3"/>
  <c r="AE54" i="3"/>
  <c r="AD54" i="3"/>
  <c r="N54" i="3"/>
  <c r="M54" i="3"/>
  <c r="B58" i="3" s="1"/>
  <c r="F60" i="3" s="1"/>
  <c r="F63" i="3" s="1"/>
  <c r="AE53" i="3"/>
  <c r="AD53" i="3"/>
  <c r="AA53" i="3"/>
  <c r="S59" i="3" s="1"/>
  <c r="X61" i="3" s="1"/>
  <c r="N53" i="3"/>
  <c r="M53" i="3"/>
  <c r="BE48" i="3"/>
  <c r="BD48" i="3"/>
  <c r="AK44" i="3" s="1" a="1"/>
  <c r="AK44" i="3" s="1"/>
  <c r="AP46" i="3" s="1"/>
  <c r="AP49" i="3" s="1"/>
  <c r="F46" i="3"/>
  <c r="S45" i="3"/>
  <c r="X47" i="3" s="1"/>
  <c r="F45" i="3"/>
  <c r="F48" i="3" s="1"/>
  <c r="B44" i="3"/>
  <c r="B43" i="3"/>
  <c r="AX42" i="3"/>
  <c r="AW42" i="3"/>
  <c r="BB41" i="3"/>
  <c r="BA41" i="3"/>
  <c r="AZ41" i="3"/>
  <c r="AU39" i="3"/>
  <c r="AT39" i="3"/>
  <c r="AS39" i="3"/>
  <c r="AK45" i="3" s="1"/>
  <c r="AP47" i="3" s="1"/>
  <c r="AR39" i="3"/>
  <c r="AD39" i="3"/>
  <c r="S44" i="3" s="1"/>
  <c r="X46" i="3" s="1"/>
  <c r="N39" i="3"/>
  <c r="M39" i="3"/>
  <c r="AU38" i="3"/>
  <c r="AT38" i="3"/>
  <c r="AS38" i="3"/>
  <c r="AE38" i="3"/>
  <c r="S43" i="3" s="1"/>
  <c r="X45" i="3" s="1"/>
  <c r="AD38" i="3"/>
  <c r="M38" i="3"/>
  <c r="J38" i="3"/>
  <c r="B42" i="3" s="1"/>
  <c r="F44" i="3" s="1"/>
  <c r="X31" i="3"/>
  <c r="S29" i="3"/>
  <c r="B29" i="3"/>
  <c r="F31" i="3" s="1"/>
  <c r="B28" i="3"/>
  <c r="F30" i="3" s="1"/>
  <c r="F33" i="3" s="1"/>
  <c r="S27" i="3"/>
  <c r="X29" i="3" s="1"/>
  <c r="B27" i="3"/>
  <c r="F29" i="3" s="1"/>
  <c r="AR25" i="3"/>
  <c r="AK27" i="3" s="1" a="1"/>
  <c r="AK27" i="3" s="1"/>
  <c r="AP29" i="3" s="1"/>
  <c r="AY23" i="3"/>
  <c r="AK28" i="3" s="1"/>
  <c r="AP30" i="3" s="1"/>
  <c r="AT23" i="3"/>
  <c r="AF22" i="3"/>
  <c r="S28" i="3" s="1"/>
  <c r="X30" i="3" s="1"/>
  <c r="X33" i="3" s="1"/>
  <c r="N22" i="3"/>
  <c r="M22" i="3"/>
  <c r="G22" i="3"/>
  <c r="AW21" i="3"/>
  <c r="AV21" i="3"/>
  <c r="AF21" i="3"/>
  <c r="AE21" i="3"/>
  <c r="AC21" i="3"/>
  <c r="AB21" i="3"/>
  <c r="F14" i="3"/>
  <c r="B12" i="3"/>
  <c r="AK10" i="3"/>
  <c r="AP12" i="3" s="1"/>
  <c r="AK9" i="3"/>
  <c r="AP11" i="3" s="1"/>
  <c r="S9" i="3"/>
  <c r="X11" i="3" s="1"/>
  <c r="AE5" i="3"/>
  <c r="AD5" i="3"/>
  <c r="S10" i="3" s="1"/>
  <c r="X12" i="3" s="1"/>
  <c r="N5" i="3"/>
  <c r="B11" i="3" s="1"/>
  <c r="F13" i="3" s="1"/>
  <c r="AY4" i="3"/>
  <c r="AX4" i="3"/>
  <c r="AE4" i="3"/>
  <c r="AD4" i="3"/>
  <c r="N4" i="3"/>
  <c r="M4" i="3"/>
  <c r="K4" i="3"/>
  <c r="B10" i="3" s="1" a="1"/>
  <c r="B10" i="3" s="1"/>
  <c r="F12" i="3" s="1"/>
  <c r="AY3" i="3"/>
  <c r="AX3" i="3"/>
  <c r="AV3" i="3"/>
  <c r="AU3" i="3"/>
  <c r="AK8" i="3" s="1"/>
  <c r="AP10" i="3" s="1"/>
  <c r="AE3" i="3"/>
  <c r="AD3" i="3"/>
  <c r="S8" i="3" s="1"/>
  <c r="X10" i="3" s="1"/>
  <c r="P18" i="2"/>
  <c r="D8" i="2" s="1"/>
  <c r="F8" i="2" s="1"/>
  <c r="F14" i="2"/>
  <c r="F13" i="2"/>
  <c r="E12" i="2"/>
  <c r="F12" i="2" s="1"/>
  <c r="P11" i="2"/>
  <c r="K11" i="2"/>
  <c r="K9" i="2"/>
  <c r="K8" i="2"/>
  <c r="K16" i="2" s="1"/>
  <c r="E7" i="2"/>
  <c r="V60" i="1"/>
  <c r="U60" i="1"/>
  <c r="T60" i="1"/>
  <c r="C45" i="1" a="1"/>
  <c r="C45" i="1" s="1"/>
  <c r="K47" i="1" s="1"/>
  <c r="H50" i="1" s="1"/>
  <c r="AJ44" i="1"/>
  <c r="AQ39" i="1"/>
  <c r="AC39" i="1"/>
  <c r="O39" i="1"/>
  <c r="M38" i="1"/>
  <c r="L38" i="1"/>
  <c r="K38" i="1"/>
  <c r="J38" i="1"/>
  <c r="C46" i="1" s="1"/>
  <c r="K48" i="1" s="1"/>
  <c r="AQ37" i="1"/>
  <c r="AQ44" i="1" s="1"/>
  <c r="AC37" i="1"/>
  <c r="AC44" i="1" s="1"/>
  <c r="K37" i="1"/>
  <c r="J37" i="1"/>
  <c r="AQ35" i="1"/>
  <c r="W30" i="1"/>
  <c r="V30" i="1"/>
  <c r="AJ29" i="1"/>
  <c r="AC27" i="1"/>
  <c r="AQ25" i="1"/>
  <c r="AQ28" i="1" s="1"/>
  <c r="AJ25" i="1"/>
  <c r="AC24" i="1"/>
  <c r="P24" i="1"/>
  <c r="O24" i="1"/>
  <c r="C26" i="1" s="1" a="1"/>
  <c r="C26" i="1" s="1"/>
  <c r="K28" i="1" s="1"/>
  <c r="H31" i="1" s="1"/>
  <c r="AQ23" i="1"/>
  <c r="AJ23" i="1"/>
  <c r="T23" i="1"/>
  <c r="S23" i="1"/>
  <c r="R23" i="1"/>
  <c r="AC22" i="1"/>
  <c r="AQ21" i="1"/>
  <c r="M21" i="1"/>
  <c r="L21" i="1"/>
  <c r="K21" i="1"/>
  <c r="J21" i="1"/>
  <c r="C27" i="1" s="1"/>
  <c r="K29" i="1" s="1"/>
  <c r="M20" i="1"/>
  <c r="L20" i="1"/>
  <c r="K20" i="1"/>
  <c r="C9" i="1" a="1"/>
  <c r="C9" i="1" s="1"/>
  <c r="K11" i="1" s="1"/>
  <c r="AJ8" i="1"/>
  <c r="AC8" i="1"/>
  <c r="J7" i="1"/>
  <c r="AJ6" i="1"/>
  <c r="AJ11" i="1" s="1"/>
  <c r="AC6" i="1"/>
  <c r="AC11" i="1" s="1"/>
  <c r="Q5" i="1"/>
  <c r="C10" i="1" s="1"/>
  <c r="K12" i="1" s="1"/>
  <c r="L5" i="1"/>
  <c r="AQ4" i="1"/>
  <c r="AQ11" i="1" s="1"/>
  <c r="O3" i="1"/>
  <c r="N3" i="1"/>
  <c r="BL7" i="3" l="1"/>
  <c r="F16" i="3"/>
  <c r="X14" i="3"/>
  <c r="AP14" i="3"/>
  <c r="AP32" i="3"/>
  <c r="X49" i="3"/>
  <c r="BL6" i="3"/>
  <c r="BL8" i="3"/>
  <c r="AP68" i="3"/>
  <c r="X65" i="3"/>
  <c r="D7" i="2"/>
  <c r="F7" i="2" s="1"/>
  <c r="O36" i="2"/>
  <c r="H49" i="1"/>
  <c r="O48" i="1"/>
  <c r="H48" i="1"/>
  <c r="O47" i="1"/>
  <c r="H47" i="1"/>
  <c r="H29" i="1"/>
  <c r="O28" i="1"/>
  <c r="H30" i="1"/>
  <c r="H28" i="1"/>
  <c r="O29" i="1"/>
  <c r="H14" i="1"/>
  <c r="AJ64" i="1"/>
  <c r="AQ64" i="1"/>
  <c r="K81" i="3" l="1"/>
  <c r="X79" i="3"/>
  <c r="X78" i="3"/>
  <c r="BL3" i="3"/>
  <c r="R67" i="1"/>
  <c r="AC71" i="1"/>
  <c r="AJ68" i="1"/>
  <c r="AC68" i="1" s="1"/>
  <c r="AQ67" i="1"/>
  <c r="AC64" i="1" s="1"/>
  <c r="O11" i="1"/>
  <c r="I69" i="1" s="1"/>
  <c r="H13" i="1"/>
  <c r="O12" i="1"/>
  <c r="I64" i="1" s="1"/>
  <c r="H11" i="1"/>
  <c r="H12" i="1"/>
  <c r="AC52" i="1" s="1"/>
  <c r="AC54" i="1" l="1"/>
  <c r="AH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<sst xmlns="http://schemas.openxmlformats.org/spreadsheetml/2006/main" count="579" uniqueCount="116">
  <si>
    <t>Octobre</t>
  </si>
  <si>
    <t>Intermarché PAM</t>
  </si>
  <si>
    <t>Autre intermarché</t>
  </si>
  <si>
    <t>Leclerc</t>
  </si>
  <si>
    <t>Total</t>
  </si>
  <si>
    <t>DKV</t>
  </si>
  <si>
    <t>10-oct</t>
  </si>
  <si>
    <t>20-oct</t>
  </si>
  <si>
    <t>30-oct</t>
  </si>
  <si>
    <t>16-oct</t>
  </si>
  <si>
    <t>31-oct</t>
  </si>
  <si>
    <t>08-oct</t>
  </si>
  <si>
    <t>15-oct</t>
  </si>
  <si>
    <t>23-oct</t>
  </si>
  <si>
    <t>Gasoil</t>
  </si>
  <si>
    <t>Janvier</t>
  </si>
  <si>
    <t>Avril</t>
  </si>
  <si>
    <t>Juillet</t>
  </si>
  <si>
    <t>Essence</t>
  </si>
  <si>
    <t xml:space="preserve">Total émissions véhicules lourds </t>
  </si>
  <si>
    <t>Kg de CO2e</t>
  </si>
  <si>
    <t xml:space="preserve">Total émissions véhicules légers Gasoil </t>
  </si>
  <si>
    <t>Total émissions période véhicules légers Essence</t>
  </si>
  <si>
    <t>TOTAL G</t>
  </si>
  <si>
    <t>Litres</t>
  </si>
  <si>
    <t>Emissions de CO2e</t>
  </si>
  <si>
    <t>TOTAL E</t>
  </si>
  <si>
    <t>BUS</t>
  </si>
  <si>
    <t>Kg</t>
  </si>
  <si>
    <t>Total Intra-Urbain</t>
  </si>
  <si>
    <t>Total Emissions du mois</t>
  </si>
  <si>
    <t>V-L Gasoil</t>
  </si>
  <si>
    <t>Total Inter-Urbain</t>
  </si>
  <si>
    <t>V-L Essence</t>
  </si>
  <si>
    <t>Novembre</t>
  </si>
  <si>
    <t>10-nov</t>
  </si>
  <si>
    <t>20-nov</t>
  </si>
  <si>
    <t>30-nov</t>
  </si>
  <si>
    <t>08-nov</t>
  </si>
  <si>
    <t>15-nov</t>
  </si>
  <si>
    <t>23-nov</t>
  </si>
  <si>
    <t>02-nov</t>
  </si>
  <si>
    <t>16-nov</t>
  </si>
  <si>
    <t>Février</t>
  </si>
  <si>
    <t>Mai</t>
  </si>
  <si>
    <t>Août</t>
  </si>
  <si>
    <t>Décembre</t>
  </si>
  <si>
    <t>Mars</t>
  </si>
  <si>
    <t>Juin</t>
  </si>
  <si>
    <t>Septembre</t>
  </si>
  <si>
    <t>10-déc</t>
  </si>
  <si>
    <t>20-déc</t>
  </si>
  <si>
    <t>30-déc</t>
  </si>
  <si>
    <t>01-déc</t>
  </si>
  <si>
    <t>15-déc</t>
  </si>
  <si>
    <t>31-déc</t>
  </si>
  <si>
    <t>04-déc</t>
  </si>
  <si>
    <t>19-déc</t>
  </si>
  <si>
    <t>Total émissions véhicules lourds Juin</t>
  </si>
  <si>
    <t>08-déc</t>
  </si>
  <si>
    <t>23-déc</t>
  </si>
  <si>
    <t>Total émissions période véhicules légers Gasoil Juin</t>
  </si>
  <si>
    <t>Total émissions période véhicules légers Essence Juin</t>
  </si>
  <si>
    <t>KgCO2e</t>
  </si>
  <si>
    <t>Total émissions CO2e 2023/2024</t>
  </si>
  <si>
    <t>Total émissions CO2e 2023</t>
  </si>
  <si>
    <t>Indicateur d'émissions par rapport au volume d'activité</t>
  </si>
  <si>
    <t>Nom</t>
  </si>
  <si>
    <t>Effectif</t>
  </si>
  <si>
    <t>Kg CO2e</t>
  </si>
  <si>
    <t>CA</t>
  </si>
  <si>
    <t>Rapport Kg CO2e/€</t>
  </si>
  <si>
    <t>Lieu</t>
  </si>
  <si>
    <t>DMA Dupasquier 2024</t>
  </si>
  <si>
    <t>100 à 199</t>
  </si>
  <si>
    <t>Maidières</t>
  </si>
  <si>
    <t>Sources</t>
  </si>
  <si>
    <t>DMA Dupasquier 2023</t>
  </si>
  <si>
    <t>Emissions Bus</t>
  </si>
  <si>
    <t>Comparaison Autres entreprises</t>
  </si>
  <si>
    <t>Emissions V-L</t>
  </si>
  <si>
    <t>Emissions Parc Global</t>
  </si>
  <si>
    <t>Emissions Elec totale</t>
  </si>
  <si>
    <t>Emissions élec</t>
  </si>
  <si>
    <t>Emissions commandes</t>
  </si>
  <si>
    <t>Emissions Commandes</t>
  </si>
  <si>
    <t>Viabus</t>
  </si>
  <si>
    <t>Seine-et-Marne</t>
  </si>
  <si>
    <t>Emissions trajets collaborateurs</t>
  </si>
  <si>
    <t>Linevia</t>
  </si>
  <si>
    <t>200 à 249</t>
  </si>
  <si>
    <t>Morbihan</t>
  </si>
  <si>
    <t>Sodiparc</t>
  </si>
  <si>
    <t>250 à 499</t>
  </si>
  <si>
    <t>La Réunion</t>
  </si>
  <si>
    <t>CA Prévisionnel</t>
  </si>
  <si>
    <t xml:space="preserve">CA </t>
  </si>
  <si>
    <t>Total flotte KM (octobre à septembre)</t>
  </si>
  <si>
    <t>Km</t>
  </si>
  <si>
    <t>2023/2024</t>
  </si>
  <si>
    <t>Kg CO2e/KM</t>
  </si>
  <si>
    <t>Somme totale</t>
  </si>
  <si>
    <t>10-janv</t>
  </si>
  <si>
    <t>20-janv</t>
  </si>
  <si>
    <t>31-janv</t>
  </si>
  <si>
    <t>15-janv</t>
  </si>
  <si>
    <t>Bio-éthanol</t>
  </si>
  <si>
    <t xml:space="preserve">Somme Gasoil </t>
  </si>
  <si>
    <t>Somme Essence</t>
  </si>
  <si>
    <t>Somme Bio</t>
  </si>
  <si>
    <t>TOTAL B</t>
  </si>
  <si>
    <t>Bio</t>
  </si>
  <si>
    <t>10-févr</t>
  </si>
  <si>
    <t>20-févr</t>
  </si>
  <si>
    <t>28-févr</t>
  </si>
  <si>
    <t>15-févr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</si>
</sst>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4"/>
      <color rgb="FF3F3F76"/>
      <name val="Calibri"/>
      <family val="2"/>
      <scheme val="minor"/>
    </font>
    <font>
      <b/>
      <sz val="24"/>
      <color rgb="FF3F3F76"/>
      <name val="Calibri"/>
      <family val="2"/>
      <scheme val="minor"/>
    </font>
    <font>
      <b/>
      <u/>
      <sz val="24"/>
      <color rgb="FF3F3F76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28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48"/>
      <color rgb="FF0061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4"/>
      <color rgb="FFFA7D0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0" borderId="2" applyNumberFormat="0" applyFill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" fillId="0" borderId="0"/>
  </cellStyleXfs>
  <cellXfs count="59">
    <xf numFmtId="0" fontId="0" fillId="0" borderId="0" xfId="0"/>
    <xf numFmtId="0" fontId="11" fillId="0" borderId="0" xfId="0" applyFont="1"/>
    <xf numFmtId="0" fontId="0" fillId="9" borderId="0" xfId="0" applyFill="1"/>
    <xf numFmtId="16" fontId="0" fillId="0" borderId="0" xfId="0" applyNumberFormat="1"/>
    <xf numFmtId="0" fontId="3" fillId="3" borderId="0" xfId="2"/>
    <xf numFmtId="0" fontId="12" fillId="0" borderId="0" xfId="0" applyFont="1"/>
    <xf numFmtId="0" fontId="9" fillId="0" borderId="0" xfId="0" applyFont="1"/>
    <xf numFmtId="0" fontId="4" fillId="4" borderId="0" xfId="3"/>
    <xf numFmtId="0" fontId="13" fillId="5" borderId="1" xfId="4" applyFont="1"/>
    <xf numFmtId="4" fontId="14" fillId="5" borderId="1" xfId="4" applyNumberFormat="1" applyFont="1"/>
    <xf numFmtId="4" fontId="15" fillId="5" borderId="1" xfId="4" applyNumberFormat="1" applyFont="1"/>
    <xf numFmtId="0" fontId="16" fillId="0" borderId="0" xfId="0" applyFont="1"/>
    <xf numFmtId="4" fontId="0" fillId="0" borderId="0" xfId="0" applyNumberFormat="1"/>
    <xf numFmtId="0" fontId="2" fillId="2" borderId="3" xfId="1" applyBorder="1"/>
    <xf numFmtId="4" fontId="2" fillId="2" borderId="3" xfId="1" applyNumberFormat="1" applyBorder="1"/>
    <xf numFmtId="0" fontId="17" fillId="6" borderId="1" xfId="5" applyFont="1"/>
    <xf numFmtId="4" fontId="17" fillId="6" borderId="1" xfId="5" applyNumberFormat="1" applyFont="1"/>
    <xf numFmtId="0" fontId="18" fillId="4" borderId="0" xfId="3" applyFont="1"/>
    <xf numFmtId="4" fontId="18" fillId="4" borderId="0" xfId="3" applyNumberFormat="1" applyFont="1"/>
    <xf numFmtId="0" fontId="2" fillId="2" borderId="0" xfId="1"/>
    <xf numFmtId="0" fontId="19" fillId="2" borderId="3" xfId="1" applyFont="1" applyBorder="1"/>
    <xf numFmtId="4" fontId="19" fillId="2" borderId="3" xfId="1" applyNumberFormat="1" applyFont="1" applyBorder="1"/>
    <xf numFmtId="0" fontId="20" fillId="2" borderId="3" xfId="1" applyFont="1" applyBorder="1"/>
    <xf numFmtId="4" fontId="21" fillId="2" borderId="0" xfId="1" applyNumberFormat="1" applyFont="1"/>
    <xf numFmtId="0" fontId="21" fillId="2" borderId="0" xfId="1" applyFont="1"/>
    <xf numFmtId="0" fontId="1" fillId="0" borderId="0" xfId="9"/>
    <xf numFmtId="4" fontId="22" fillId="2" borderId="0" xfId="1" applyNumberFormat="1" applyFont="1"/>
    <xf numFmtId="0" fontId="22" fillId="2" borderId="0" xfId="1" applyFont="1"/>
    <xf numFmtId="0" fontId="1" fillId="9" borderId="0" xfId="9" applyFill="1"/>
    <xf numFmtId="0" fontId="0" fillId="10" borderId="0" xfId="0" applyFill="1"/>
    <xf numFmtId="0" fontId="0" fillId="11" borderId="0" xfId="0" applyFill="1"/>
    <xf numFmtId="0" fontId="23" fillId="0" borderId="0" xfId="0" applyFont="1"/>
    <xf numFmtId="0" fontId="8" fillId="12" borderId="5" xfId="0" applyFont="1" applyFill="1" applyBorder="1"/>
    <xf numFmtId="0" fontId="8" fillId="12" borderId="6" xfId="0" applyFont="1" applyFill="1" applyBorder="1"/>
    <xf numFmtId="0" fontId="8" fillId="12" borderId="7" xfId="0" applyFont="1" applyFill="1" applyBorder="1"/>
    <xf numFmtId="0" fontId="1" fillId="0" borderId="0" xfId="0" applyFont="1"/>
    <xf numFmtId="3" fontId="0" fillId="0" borderId="0" xfId="0" applyNumberFormat="1"/>
    <xf numFmtId="4" fontId="1" fillId="0" borderId="0" xfId="0" applyNumberFormat="1" applyFont="1"/>
    <xf numFmtId="0" fontId="2" fillId="2" borderId="4" xfId="1" applyBorder="1"/>
    <xf numFmtId="4" fontId="2" fillId="2" borderId="4" xfId="1" applyNumberFormat="1" applyBorder="1"/>
    <xf numFmtId="0" fontId="24" fillId="0" borderId="2" xfId="6" applyFont="1"/>
    <xf numFmtId="3" fontId="24" fillId="0" borderId="2" xfId="6" applyNumberFormat="1" applyFont="1"/>
    <xf numFmtId="0" fontId="1" fillId="11" borderId="0" xfId="9" applyFill="1"/>
    <xf numFmtId="0" fontId="25" fillId="7" borderId="8" xfId="7" applyFont="1" applyBorder="1"/>
    <xf numFmtId="0" fontId="10" fillId="7" borderId="9" xfId="7" applyBorder="1"/>
    <xf numFmtId="17" fontId="12" fillId="0" borderId="0" xfId="0" applyNumberFormat="1" applyFont="1"/>
    <xf numFmtId="0" fontId="28" fillId="0" borderId="0" xfId="0" applyFont="1"/>
    <xf numFmtId="0" fontId="1" fillId="13" borderId="0" xfId="9" applyFill="1"/>
    <xf numFmtId="0" fontId="29" fillId="0" borderId="0" xfId="0" applyFont="1"/>
    <xf numFmtId="16" fontId="1" fillId="0" borderId="0" xfId="9" applyNumberFormat="1"/>
    <xf numFmtId="0" fontId="30" fillId="0" borderId="0" xfId="0" applyFont="1"/>
    <xf numFmtId="16" fontId="3" fillId="3" borderId="0" xfId="2" applyNumberFormat="1"/>
    <xf numFmtId="4" fontId="31" fillId="6" borderId="1" xfId="5" applyNumberFormat="1" applyFont="1"/>
    <xf numFmtId="0" fontId="31" fillId="6" borderId="1" xfId="5" applyFont="1"/>
    <xf numFmtId="0" fontId="32" fillId="0" borderId="0" xfId="0" applyFont="1"/>
    <xf numFmtId="0" fontId="33" fillId="6" borderId="1" xfId="5" applyFont="1"/>
    <xf numFmtId="0" fontId="10" fillId="8" borderId="0" xfId="8"/>
    <xf numFmtId="0" fontId="10" fillId="9" borderId="0" xfId="8" applyFill="1"/>
    <xf numFmtId="0" fontId="0" fillId="13" borderId="0" xfId="0" applyFill="1"/>
  </cellXfs>
  <cellStyles count="10">
    <cellStyle name="Accent2" xfId="7" builtinId="33"/>
    <cellStyle name="Accent6" xfId="8" builtinId="49"/>
    <cellStyle name="Calcul" xfId="5" builtinId="22"/>
    <cellStyle name="Cellule liée" xfId="6" builtinId="24"/>
    <cellStyle name="Entrée" xfId="4" builtinId="20"/>
    <cellStyle name="Insatisfaisant" xfId="2" builtinId="27"/>
    <cellStyle name="Neutre" xfId="3" builtinId="28"/>
    <cellStyle name="Normal" xfId="0" builtinId="0"/>
    <cellStyle name="Normal 2" xfId="9" xr:uid="{EC5325A1-4DD5-4744-A541-1285D5913ABB}"/>
    <cellStyle name="Satisfaisant" xfId="1" builtinId="26"/>
  </cellStyles>
  <dxfs count="50"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  <dxf>
      <numFmt numFmtId="21" formatCode="d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Part d'émissions des différentes sources</a:t>
            </a:r>
          </a:p>
        </c:rich>
      </c:tx>
      <c:layout>
        <c:manualLayout>
          <c:xMode val="edge"/>
          <c:yMode val="edge"/>
          <c:x val="0.17037980175929751"/>
          <c:y val="9.541554208232216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[1]TOTAL!$K$7</c:f>
              <c:strCache>
                <c:ptCount val="1"/>
                <c:pt idx="0">
                  <c:v>Kg CO2e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DF7-4C86-BA25-849E1C3DED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DF7-4C86-BA25-849E1C3DED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DF7-4C86-BA25-849E1C3DED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DF7-4C86-BA25-849E1C3DED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DF7-4C86-BA25-849E1C3DED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DF7-4C86-BA25-849E1C3DEDE5}"/>
              </c:ext>
            </c:extLst>
          </c:dPt>
          <c:dLbls>
            <c:dLbl>
              <c:idx val="0"/>
              <c:layout>
                <c:manualLayout>
                  <c:x val="7.3310644097141373E-2"/>
                  <c:y val="4.7005906520760261E-2"/>
                </c:manualLayout>
              </c:layout>
              <c:tx>
                <c:rich>
                  <a:bodyPr/>
                  <a:lstStyle/>
                  <a:p>
                    <a:fld id="{2EDA0DAD-4E56-44DE-9050-097870B5D55C}" type="CATEGORYNAME">
                      <a:rPr lang="en-US" sz="600"/>
                      <a:pPr/>
                      <a:t>[NOM DE CATÉGORIE]</a:t>
                    </a:fld>
                    <a:r>
                      <a:rPr lang="en-US" sz="600" baseline="0"/>
                      <a:t>
</a:t>
                    </a:r>
                    <a:fld id="{E91B44A1-58EF-4ADF-A6E7-95BB0053479A}" type="PERCENTAGE">
                      <a:rPr lang="en-US" sz="600" baseline="0"/>
                      <a:pPr/>
                      <a:t>[POURCENTAGE]</a:t>
                    </a:fld>
                    <a:endParaRPr lang="en-US" sz="600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DF7-4C86-BA25-849E1C3DEDE5}"/>
                </c:ext>
              </c:extLst>
            </c:dLbl>
            <c:dLbl>
              <c:idx val="1"/>
              <c:layout>
                <c:manualLayout>
                  <c:x val="-9.4276491073945534E-2"/>
                  <c:y val="-5.9536709465591649E-2"/>
                </c:manualLayout>
              </c:layout>
              <c:tx>
                <c:rich>
                  <a:bodyPr/>
                  <a:lstStyle/>
                  <a:p>
                    <a:fld id="{B10DA12F-3650-426C-8C8B-959E1935FD11}" type="CATEGORYNAME">
                      <a:rPr lang="en-US" sz="600"/>
                      <a:pPr/>
                      <a:t>[NOM DE CATÉGORIE]</a:t>
                    </a:fld>
                    <a:r>
                      <a:rPr lang="en-US" sz="600" baseline="0"/>
                      <a:t>
</a:t>
                    </a:r>
                    <a:fld id="{6D6C8E15-69D3-4DA8-9513-9C1234F23DCE}" type="PERCENTAGE">
                      <a:rPr lang="en-US" sz="600" baseline="0"/>
                      <a:pPr/>
                      <a:t>[POURCENTAGE]</a:t>
                    </a:fld>
                    <a:endParaRPr lang="en-US" sz="600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DF7-4C86-BA25-849E1C3DEDE5}"/>
                </c:ext>
              </c:extLst>
            </c:dLbl>
            <c:dLbl>
              <c:idx val="2"/>
              <c:layout>
                <c:manualLayout>
                  <c:x val="-0.26925575032626081"/>
                  <c:y val="8.2055147224702168E-2"/>
                </c:manualLayout>
              </c:layout>
              <c:tx>
                <c:rich>
                  <a:bodyPr/>
                  <a:lstStyle/>
                  <a:p>
                    <a:fld id="{AA50DB70-C7BE-4635-AAED-E8A8CC638797}" type="CATEGORYNAME">
                      <a:rPr lang="en-US" sz="600"/>
                      <a:pPr/>
                      <a:t>[NOM DE CATÉGORIE]</a:t>
                    </a:fld>
                    <a:r>
                      <a:rPr lang="en-US" sz="600" baseline="0"/>
                      <a:t>
</a:t>
                    </a:r>
                    <a:fld id="{CFEB0C76-D96A-4C8E-85F9-2B1CA48091D8}" type="PERCENTAGE">
                      <a:rPr lang="en-US" sz="600" baseline="0"/>
                      <a:pPr/>
                      <a:t>[POURCENTAGE]</a:t>
                    </a:fld>
                    <a:endParaRPr lang="en-US" sz="600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7DF7-4C86-BA25-849E1C3DEDE5}"/>
                </c:ext>
              </c:extLst>
            </c:dLbl>
            <c:dLbl>
              <c:idx val="3"/>
              <c:layout>
                <c:manualLayout>
                  <c:x val="-0.27771409172265049"/>
                  <c:y val="0.18811987742431291"/>
                </c:manualLayout>
              </c:layout>
              <c:tx>
                <c:rich>
                  <a:bodyPr/>
                  <a:lstStyle/>
                  <a:p>
                    <a:r>
                      <a:rPr lang="en-US" sz="600" baseline="0"/>
                      <a:t>Commandes
</a:t>
                    </a:r>
                    <a:fld id="{72CBDFE9-A617-4B73-BC92-FF076EB2145F}" type="PERCENTAGE">
                      <a:rPr lang="en-US" sz="600" baseline="0"/>
                      <a:pPr/>
                      <a:t>[POURCENTAGE]</a:t>
                    </a:fld>
                    <a:endParaRPr lang="en-US" sz="600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7DF7-4C86-BA25-849E1C3DEDE5}"/>
                </c:ext>
              </c:extLst>
            </c:dLbl>
            <c:dLbl>
              <c:idx val="4"/>
              <c:layout>
                <c:manualLayout>
                  <c:x val="0.30341085619314634"/>
                  <c:y val="4.2923338359896458E-2"/>
                </c:manualLayout>
              </c:layout>
              <c:tx>
                <c:rich>
                  <a:bodyPr/>
                  <a:lstStyle/>
                  <a:p>
                    <a:fld id="{8CA2CC12-D672-4663-A8FD-9331A53C0314}" type="CATEGORYNAME">
                      <a:rPr lang="en-US" sz="600"/>
                      <a:pPr/>
                      <a:t>[NOM DE CATÉGORIE]</a:t>
                    </a:fld>
                    <a:r>
                      <a:rPr lang="en-US" baseline="0"/>
                      <a:t>
</a:t>
                    </a:r>
                    <a:fld id="{4BDA7B6C-6062-47E7-9C02-B6C9A3CD84E4}" type="PERCENTAGE">
                      <a:rPr lang="en-US" sz="600" baseline="0"/>
                      <a:pPr/>
                      <a:t>[POURCENTAGE]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7DF7-4C86-BA25-849E1C3DEDE5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[1]TOTAL!$J$8:$J$12</c:f>
              <c:strCache>
                <c:ptCount val="5"/>
                <c:pt idx="0">
                  <c:v>Emissions Bus</c:v>
                </c:pt>
                <c:pt idx="1">
                  <c:v>Emissions V-L</c:v>
                </c:pt>
                <c:pt idx="2">
                  <c:v>Emissions Elec totale</c:v>
                </c:pt>
                <c:pt idx="3">
                  <c:v>Emissions commandes</c:v>
                </c:pt>
                <c:pt idx="4">
                  <c:v>Emissions trajets collaborateurs</c:v>
                </c:pt>
              </c:strCache>
            </c:strRef>
          </c:cat>
          <c:val>
            <c:numRef>
              <c:f>[1]TOTAL!$K$8:$K$12</c:f>
              <c:numCache>
                <c:formatCode>#,##0.00</c:formatCode>
                <c:ptCount val="5"/>
                <c:pt idx="0">
                  <c:v>4387963.3836714001</c:v>
                </c:pt>
                <c:pt idx="1">
                  <c:v>220321.6283286</c:v>
                </c:pt>
                <c:pt idx="2">
                  <c:v>4516.2520000000004</c:v>
                </c:pt>
                <c:pt idx="3">
                  <c:v>65860.22</c:v>
                </c:pt>
                <c:pt idx="4">
                  <c:v>59935.38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F7-4C86-BA25-849E1C3DE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Emission par mois de CO2e (2023)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Janvier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2023'!$F$16</c:f>
              <c:numCache>
                <c:formatCode>#,##0.00</c:formatCode>
                <c:ptCount val="1"/>
                <c:pt idx="0">
                  <c:v>298754.07010000001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A-4629-8601-6D4B1D1EE063}"/>
            </c:ext>
          </c:extLst>
        </c:ser>
        <c:ser>
          <c:idx val="1"/>
          <c:order val="1"/>
          <c:tx>
            <c:v>Février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2023'!$F$33</c:f>
              <c:numCache>
                <c:formatCode>#,##0.00</c:formatCode>
                <c:ptCount val="1"/>
                <c:pt idx="0">
                  <c:v>255297.84960000005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A-4629-8601-6D4B1D1EE063}"/>
            </c:ext>
          </c:extLst>
        </c:ser>
        <c:ser>
          <c:idx val="2"/>
          <c:order val="2"/>
          <c:tx>
            <c:v>Mars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2023'!$F$48</c:f>
              <c:numCache>
                <c:formatCode>#,##0.00</c:formatCode>
                <c:ptCount val="1"/>
                <c:pt idx="0">
                  <c:v>333832.90549999994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AA-4629-8601-6D4B1D1EE063}"/>
            </c:ext>
          </c:extLst>
        </c:ser>
        <c:ser>
          <c:idx val="3"/>
          <c:order val="3"/>
          <c:tx>
            <c:v>Avril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2023'!$F$63</c:f>
              <c:numCache>
                <c:formatCode>#,##0.00</c:formatCode>
                <c:ptCount val="1"/>
                <c:pt idx="0">
                  <c:v>234384.64640000003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AA-4629-8601-6D4B1D1EE063}"/>
            </c:ext>
          </c:extLst>
        </c:ser>
        <c:ser>
          <c:idx val="4"/>
          <c:order val="4"/>
          <c:tx>
            <c:v>Mai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2023'!$X$14</c:f>
              <c:numCache>
                <c:formatCode>#,##0.00</c:formatCode>
                <c:ptCount val="1"/>
                <c:pt idx="0">
                  <c:v>325806.6679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AA-4629-8601-6D4B1D1EE063}"/>
            </c:ext>
          </c:extLst>
        </c:ser>
        <c:ser>
          <c:idx val="5"/>
          <c:order val="5"/>
          <c:tx>
            <c:v>Juin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2023'!$X$33</c:f>
              <c:numCache>
                <c:formatCode>#,##0.00</c:formatCode>
                <c:ptCount val="1"/>
                <c:pt idx="0">
                  <c:v>323921.96540000004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AA-4629-8601-6D4B1D1EE063}"/>
            </c:ext>
          </c:extLst>
        </c:ser>
        <c:ser>
          <c:idx val="6"/>
          <c:order val="6"/>
          <c:tx>
            <c:v>Juillet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2023'!$X$49</c:f>
              <c:numCache>
                <c:formatCode>#,##0.00</c:formatCode>
                <c:ptCount val="1"/>
                <c:pt idx="0">
                  <c:v>185785.16400000005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AA-4629-8601-6D4B1D1EE063}"/>
            </c:ext>
          </c:extLst>
        </c:ser>
        <c:ser>
          <c:idx val="7"/>
          <c:order val="7"/>
          <c:tx>
            <c:v>Août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2023'!$X$65</c:f>
              <c:numCache>
                <c:formatCode>#,##0.00</c:formatCode>
                <c:ptCount val="1"/>
                <c:pt idx="0">
                  <c:v>158408.8028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AA-4629-8601-6D4B1D1EE063}"/>
            </c:ext>
          </c:extLst>
        </c:ser>
        <c:ser>
          <c:idx val="8"/>
          <c:order val="8"/>
          <c:tx>
            <c:v>Septembre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2023'!$AP$14</c:f>
              <c:numCache>
                <c:formatCode>#,##0.00</c:formatCode>
                <c:ptCount val="1"/>
                <c:pt idx="0">
                  <c:v>374825.86710000009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AA-4629-8601-6D4B1D1EE063}"/>
            </c:ext>
          </c:extLst>
        </c:ser>
        <c:ser>
          <c:idx val="9"/>
          <c:order val="9"/>
          <c:tx>
            <c:v>Octobre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2023'!$AP$32</c:f>
              <c:numCache>
                <c:formatCode>#,##0.00</c:formatCode>
                <c:ptCount val="1"/>
                <c:pt idx="0">
                  <c:v>307984.09200000006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AA-4629-8601-6D4B1D1EE063}"/>
            </c:ext>
          </c:extLst>
        </c:ser>
        <c:ser>
          <c:idx val="10"/>
          <c:order val="10"/>
          <c:tx>
            <c:v>Novembre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2023'!$AP$49</c:f>
              <c:numCache>
                <c:formatCode>#,##0.00</c:formatCode>
                <c:ptCount val="1"/>
                <c:pt idx="0">
                  <c:v>528830.13099999994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AA-4629-8601-6D4B1D1EE063}"/>
            </c:ext>
          </c:extLst>
        </c:ser>
        <c:ser>
          <c:idx val="11"/>
          <c:order val="11"/>
          <c:tx>
            <c:v>Décembre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'[1]Parc Global 2023'!$AP$68</c:f>
              <c:numCache>
                <c:formatCode>#,##0.00</c:formatCode>
                <c:ptCount val="1"/>
                <c:pt idx="0">
                  <c:v>418137.14900000009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4AA-4629-8601-6D4B1D1EE0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0261792"/>
        <c:axId val="1430258912"/>
      </c:barChart>
      <c:catAx>
        <c:axId val="143026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0258912"/>
        <c:crosses val="autoZero"/>
        <c:auto val="1"/>
        <c:lblAlgn val="ctr"/>
        <c:lblOffset val="100"/>
        <c:noMultiLvlLbl val="0"/>
      </c:catAx>
      <c:valAx>
        <c:axId val="14302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/>
                  <a:t>Kg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026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212770</xdr:colOff>
      <xdr:row>4</xdr:row>
      <xdr:rowOff>152275</xdr:rowOff>
    </xdr:from>
    <xdr:to>
      <xdr:col>8</xdr:col>
      <xdr:colOff>1831731</xdr:colOff>
      <xdr:row>21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9F05AB4-3E15-4405-858D-CD67F4A4B83C}"/>
            </a:ext>
          </a:extLst>
        </xdr:cNvPr>
        <xdr:cNvSpPr txBox="1"/>
      </xdr:nvSpPr>
      <xdr:spPr>
        <a:xfrm>
          <a:off x="9577750" y="914275"/>
          <a:ext cx="1618961" cy="3109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i="0" u="none">
              <a:solidFill>
                <a:schemeClr val="accent6"/>
              </a:solidFill>
            </a:rPr>
            <a:t>Global octobre</a:t>
          </a:r>
        </a:p>
        <a:p>
          <a:r>
            <a:rPr lang="fr-FR" sz="1100">
              <a:solidFill>
                <a:schemeClr val="accent6"/>
              </a:solidFill>
            </a:rPr>
            <a:t>global novembre</a:t>
          </a:r>
        </a:p>
        <a:p>
          <a:r>
            <a:rPr lang="fr-FR" sz="1100">
              <a:solidFill>
                <a:schemeClr val="accent6"/>
              </a:solidFill>
            </a:rPr>
            <a:t>Global</a:t>
          </a:r>
          <a:r>
            <a:rPr lang="fr-FR" sz="1100" baseline="0">
              <a:solidFill>
                <a:schemeClr val="accent6"/>
              </a:solidFill>
            </a:rPr>
            <a:t> décembre</a:t>
          </a:r>
        </a:p>
        <a:p>
          <a:r>
            <a:rPr lang="fr-FR" sz="1100" baseline="0">
              <a:solidFill>
                <a:schemeClr val="accent6"/>
              </a:solidFill>
            </a:rPr>
            <a:t>Bus(janvier-mai)</a:t>
          </a:r>
        </a:p>
        <a:p>
          <a:r>
            <a:rPr lang="fr-FR" sz="1100" baseline="0">
              <a:solidFill>
                <a:schemeClr val="accent6"/>
              </a:solidFill>
            </a:rPr>
            <a:t>Bus juin</a:t>
          </a:r>
        </a:p>
        <a:p>
          <a:r>
            <a:rPr lang="fr-FR" sz="1100" baseline="0">
              <a:solidFill>
                <a:schemeClr val="accent6"/>
              </a:solidFill>
            </a:rPr>
            <a:t>Parc juillet</a:t>
          </a:r>
        </a:p>
        <a:p>
          <a:r>
            <a:rPr lang="fr-FR" sz="1100" baseline="0">
              <a:solidFill>
                <a:schemeClr val="accent4"/>
              </a:solidFill>
            </a:rPr>
            <a:t>Parc Août</a:t>
          </a:r>
        </a:p>
        <a:p>
          <a:r>
            <a:rPr lang="fr-FR" sz="1100" baseline="0">
              <a:solidFill>
                <a:schemeClr val="accent4"/>
              </a:solidFill>
            </a:rPr>
            <a:t>Parc Septembre</a:t>
          </a:r>
        </a:p>
        <a:p>
          <a:r>
            <a:rPr lang="fr-FR" sz="1100" baseline="0">
              <a:solidFill>
                <a:schemeClr val="accent6"/>
              </a:solidFill>
            </a:rPr>
            <a:t>VL essence</a:t>
          </a:r>
        </a:p>
        <a:p>
          <a:r>
            <a:rPr lang="fr-FR" sz="1100" baseline="0">
              <a:solidFill>
                <a:schemeClr val="accent6"/>
              </a:solidFill>
            </a:rPr>
            <a:t>VL GASOIL</a:t>
          </a:r>
        </a:p>
        <a:p>
          <a:endParaRPr lang="fr-FR" sz="1100" baseline="0"/>
        </a:p>
        <a:p>
          <a:r>
            <a:rPr lang="fr-FR" sz="1100" baseline="0">
              <a:solidFill>
                <a:schemeClr val="accent6"/>
              </a:solidFill>
            </a:rPr>
            <a:t>Commande (maidères, aube, haute marne)</a:t>
          </a:r>
        </a:p>
        <a:p>
          <a:r>
            <a:rPr lang="fr-FR" sz="1100" baseline="0">
              <a:solidFill>
                <a:schemeClr val="accent6"/>
              </a:solidFill>
            </a:rPr>
            <a:t>Conso electrique global</a:t>
          </a:r>
        </a:p>
        <a:p>
          <a:r>
            <a:rPr lang="fr-FR" sz="1100" baseline="0">
              <a:solidFill>
                <a:schemeClr val="accent6"/>
              </a:solidFill>
            </a:rPr>
            <a:t>Conso collaborateur </a:t>
          </a:r>
        </a:p>
        <a:p>
          <a:r>
            <a:rPr lang="fr-FR" sz="1100" baseline="0">
              <a:solidFill>
                <a:schemeClr val="accent6"/>
              </a:solidFill>
            </a:rPr>
            <a:t>Transport LR + ADblue</a:t>
          </a:r>
        </a:p>
        <a:p>
          <a:endParaRPr lang="fr-FR" sz="1100"/>
        </a:p>
      </xdr:txBody>
    </xdr:sp>
    <xdr:clientData/>
  </xdr:twoCellAnchor>
  <xdr:twoCellAnchor>
    <xdr:from>
      <xdr:col>16</xdr:col>
      <xdr:colOff>285666</xdr:colOff>
      <xdr:row>6</xdr:row>
      <xdr:rowOff>159745</xdr:rowOff>
    </xdr:from>
    <xdr:to>
      <xdr:col>20</xdr:col>
      <xdr:colOff>18317</xdr:colOff>
      <xdr:row>13</xdr:row>
      <xdr:rowOff>168667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39460ED5-3467-4BDB-A5F5-C8F5D905DC6F}"/>
            </a:ext>
          </a:extLst>
        </xdr:cNvPr>
        <xdr:cNvSpPr txBox="1"/>
      </xdr:nvSpPr>
      <xdr:spPr>
        <a:xfrm>
          <a:off x="20661546" y="1333225"/>
          <a:ext cx="2392031" cy="1334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i="0" u="none">
              <a:solidFill>
                <a:schemeClr val="accent6"/>
              </a:solidFill>
            </a:rPr>
            <a:t>Janvier-décembre</a:t>
          </a:r>
          <a:r>
            <a:rPr lang="fr-FR" sz="1100" i="0" u="none" baseline="0">
              <a:solidFill>
                <a:schemeClr val="accent6"/>
              </a:solidFill>
            </a:rPr>
            <a:t> (parc entier)</a:t>
          </a:r>
          <a:endParaRPr lang="fr-FR" sz="1100" baseline="0">
            <a:solidFill>
              <a:schemeClr val="accent6"/>
            </a:solidFill>
          </a:endParaRPr>
        </a:p>
        <a:p>
          <a:endParaRPr lang="fr-FR" sz="1100" baseline="0"/>
        </a:p>
        <a:p>
          <a:r>
            <a:rPr lang="fr-FR" sz="1100" baseline="0">
              <a:solidFill>
                <a:schemeClr val="accent6"/>
              </a:solidFill>
            </a:rPr>
            <a:t>Commandes (maidères, aube, haute marne)</a:t>
          </a:r>
        </a:p>
        <a:p>
          <a:r>
            <a:rPr lang="fr-FR" sz="1100" baseline="0">
              <a:solidFill>
                <a:schemeClr val="accent6"/>
              </a:solidFill>
            </a:rPr>
            <a:t>Conso electrique global</a:t>
          </a:r>
        </a:p>
        <a:p>
          <a:r>
            <a:rPr lang="fr-FR" sz="1100" baseline="0">
              <a:solidFill>
                <a:schemeClr val="accent6"/>
              </a:solidFill>
            </a:rPr>
            <a:t>Conso collaborateur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Transport LR + ADblue</a:t>
          </a:r>
          <a:endParaRPr lang="fr-FR">
            <a:solidFill>
              <a:schemeClr val="accent6"/>
            </a:solidFill>
            <a:effectLst/>
          </a:endParaRPr>
        </a:p>
        <a:p>
          <a:endParaRPr lang="fr-FR" sz="1100" baseline="0"/>
        </a:p>
        <a:p>
          <a:endParaRPr lang="fr-FR" sz="1100"/>
        </a:p>
      </xdr:txBody>
    </xdr:sp>
    <xdr:clientData/>
  </xdr:twoCellAnchor>
  <xdr:twoCellAnchor>
    <xdr:from>
      <xdr:col>8</xdr:col>
      <xdr:colOff>1335383</xdr:colOff>
      <xdr:row>26</xdr:row>
      <xdr:rowOff>148093</xdr:rowOff>
    </xdr:from>
    <xdr:to>
      <xdr:col>9</xdr:col>
      <xdr:colOff>2256407</xdr:colOff>
      <xdr:row>42</xdr:row>
      <xdr:rowOff>1196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3D12477-EB03-4C4F-A1AD-3762EBC75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136071</xdr:colOff>
      <xdr:row>16</xdr:row>
      <xdr:rowOff>136071</xdr:rowOff>
    </xdr:from>
    <xdr:to>
      <xdr:col>4</xdr:col>
      <xdr:colOff>612322</xdr:colOff>
      <xdr:row>20</xdr:row>
      <xdr:rowOff>190501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D14390A9-8760-4EFE-B2DD-83E46129C64D}"/>
            </a:ext>
          </a:extLst>
        </xdr:cNvPr>
        <xdr:cNvSpPr txBox="1"/>
      </xdr:nvSpPr>
      <xdr:spPr>
        <a:xfrm>
          <a:off x="257991" y="3184071"/>
          <a:ext cx="5147311" cy="839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Données trouvées grâce à la base de</a:t>
          </a:r>
          <a:r>
            <a:rPr lang="fr-FR" sz="1100" baseline="0"/>
            <a:t> données des bilans carbone de l'ADEME (</a:t>
          </a:r>
          <a:r>
            <a:rPr lang="fr-FR" sz="700" baseline="0">
              <a:solidFill>
                <a:schemeClr val="accent1"/>
              </a:solidFill>
            </a:rPr>
            <a:t>https://bilans-ges.ademe.fr/bilans</a:t>
          </a:r>
          <a:r>
            <a:rPr lang="fr-FR" sz="1100" baseline="0"/>
            <a:t>), ainsi qu'aux relevés financiers fournis par societe.com. (</a:t>
          </a:r>
          <a:r>
            <a:rPr lang="fr-FR" sz="700" baseline="0">
              <a:solidFill>
                <a:schemeClr val="accent1"/>
              </a:solidFill>
            </a:rPr>
            <a:t>https://www.societe.com/</a:t>
          </a:r>
          <a:r>
            <a:rPr lang="fr-FR" sz="1100" baseline="0">
              <a:solidFill>
                <a:sysClr val="windowText" lastClr="000000"/>
              </a:solidFill>
            </a:rPr>
            <a:t>)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158750</xdr:colOff>
      <xdr:row>14</xdr:row>
      <xdr:rowOff>95250</xdr:rowOff>
    </xdr:from>
    <xdr:to>
      <xdr:col>2</xdr:col>
      <xdr:colOff>158750</xdr:colOff>
      <xdr:row>16</xdr:row>
      <xdr:rowOff>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71CFA7DE-A8F8-4E15-B6D0-80DC35992C70}"/>
            </a:ext>
          </a:extLst>
        </xdr:cNvPr>
        <xdr:cNvCxnSpPr/>
      </xdr:nvCxnSpPr>
      <xdr:spPr>
        <a:xfrm flipV="1">
          <a:off x="2056130" y="2777490"/>
          <a:ext cx="0" cy="27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2906752</xdr:colOff>
      <xdr:row>68</xdr:row>
      <xdr:rowOff>121114</xdr:rowOff>
    </xdr:from>
    <xdr:to>
      <xdr:col>27</xdr:col>
      <xdr:colOff>6821448</xdr:colOff>
      <xdr:row>73</xdr:row>
      <xdr:rowOff>83014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4C3E3EB-6402-4928-9459-EFF33385B3AF}"/>
            </a:ext>
          </a:extLst>
        </xdr:cNvPr>
        <xdr:cNvSpPr txBox="1"/>
      </xdr:nvSpPr>
      <xdr:spPr>
        <a:xfrm>
          <a:off x="25949632" y="19033954"/>
          <a:ext cx="3914696" cy="1584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4000" b="1"/>
            <a:t>Somme totale :</a:t>
          </a:r>
        </a:p>
      </xdr:txBody>
    </xdr:sp>
    <xdr:clientData/>
  </xdr:twoCellAnchor>
  <xdr:twoCellAnchor>
    <xdr:from>
      <xdr:col>34</xdr:col>
      <xdr:colOff>4117252</xdr:colOff>
      <xdr:row>61</xdr:row>
      <xdr:rowOff>193303</xdr:rowOff>
    </xdr:from>
    <xdr:to>
      <xdr:col>34</xdr:col>
      <xdr:colOff>8031654</xdr:colOff>
      <xdr:row>66</xdr:row>
      <xdr:rowOff>32426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111032F-1C95-4EEE-A133-F6F0D08C4D4B}"/>
            </a:ext>
          </a:extLst>
        </xdr:cNvPr>
        <xdr:cNvSpPr txBox="1"/>
      </xdr:nvSpPr>
      <xdr:spPr>
        <a:xfrm>
          <a:off x="45806272" y="16027663"/>
          <a:ext cx="3914402" cy="1363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3200" b="1"/>
            <a:t>Somme BUS</a:t>
          </a:r>
        </a:p>
        <a:p>
          <a:r>
            <a:rPr lang="fr-FR" sz="3200" b="1"/>
            <a:t>JANVIER-SEPTEMBRE</a:t>
          </a:r>
        </a:p>
      </xdr:txBody>
    </xdr:sp>
    <xdr:clientData/>
  </xdr:twoCellAnchor>
  <xdr:twoCellAnchor>
    <xdr:from>
      <xdr:col>41</xdr:col>
      <xdr:colOff>3377950</xdr:colOff>
      <xdr:row>62</xdr:row>
      <xdr:rowOff>5235</xdr:rowOff>
    </xdr:from>
    <xdr:to>
      <xdr:col>41</xdr:col>
      <xdr:colOff>7292352</xdr:colOff>
      <xdr:row>64</xdr:row>
      <xdr:rowOff>149087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1EAE0A2-672D-4976-A7F0-DBA6D27514D7}"/>
            </a:ext>
          </a:extLst>
        </xdr:cNvPr>
        <xdr:cNvSpPr txBox="1"/>
      </xdr:nvSpPr>
      <xdr:spPr>
        <a:xfrm>
          <a:off x="63179710" y="16037715"/>
          <a:ext cx="3914402" cy="1103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3200" b="1"/>
            <a:t>Somme</a:t>
          </a:r>
          <a:r>
            <a:rPr lang="fr-FR" sz="3200" b="1" baseline="0"/>
            <a:t> V-L</a:t>
          </a:r>
          <a:endParaRPr lang="fr-FR" sz="3200" b="1"/>
        </a:p>
        <a:p>
          <a:r>
            <a:rPr lang="fr-FR" sz="3200" b="1"/>
            <a:t>JANVIER-Septembre</a:t>
          </a:r>
        </a:p>
      </xdr:txBody>
    </xdr:sp>
    <xdr:clientData/>
  </xdr:twoCellAnchor>
  <xdr:twoCellAnchor>
    <xdr:from>
      <xdr:col>34</xdr:col>
      <xdr:colOff>3762928</xdr:colOff>
      <xdr:row>66</xdr:row>
      <xdr:rowOff>24564</xdr:rowOff>
    </xdr:from>
    <xdr:to>
      <xdr:col>34</xdr:col>
      <xdr:colOff>8068789</xdr:colOff>
      <xdr:row>68</xdr:row>
      <xdr:rowOff>110836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86D4C2EC-FD07-498A-A489-04BDD1B9839C}"/>
            </a:ext>
          </a:extLst>
        </xdr:cNvPr>
        <xdr:cNvSpPr txBox="1"/>
      </xdr:nvSpPr>
      <xdr:spPr>
        <a:xfrm>
          <a:off x="45451948" y="17382924"/>
          <a:ext cx="4305861" cy="1640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3200" b="1"/>
            <a:t>Somme BUS</a:t>
          </a:r>
        </a:p>
        <a:p>
          <a:r>
            <a:rPr lang="fr-FR" sz="3200" b="1"/>
            <a:t>OCTOBRE-JANVIER</a:t>
          </a:r>
        </a:p>
      </xdr:txBody>
    </xdr:sp>
    <xdr:clientData/>
  </xdr:twoCellAnchor>
  <xdr:twoCellAnchor>
    <xdr:from>
      <xdr:col>41</xdr:col>
      <xdr:colOff>3108021</xdr:colOff>
      <xdr:row>64</xdr:row>
      <xdr:rowOff>169478</xdr:rowOff>
    </xdr:from>
    <xdr:to>
      <xdr:col>41</xdr:col>
      <xdr:colOff>7413882</xdr:colOff>
      <xdr:row>67</xdr:row>
      <xdr:rowOff>182218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DA809137-E296-48FA-8E9D-F2896735C03B}"/>
            </a:ext>
          </a:extLst>
        </xdr:cNvPr>
        <xdr:cNvSpPr txBox="1"/>
      </xdr:nvSpPr>
      <xdr:spPr>
        <a:xfrm>
          <a:off x="62909781" y="17162078"/>
          <a:ext cx="4305861" cy="115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3200" b="1"/>
            <a:t>Somme V-L</a:t>
          </a:r>
        </a:p>
        <a:p>
          <a:r>
            <a:rPr lang="fr-FR" sz="3200" b="1"/>
            <a:t>OCTOBRE-JANVIER</a:t>
          </a:r>
        </a:p>
      </xdr:txBody>
    </xdr:sp>
    <xdr:clientData/>
  </xdr:twoCellAnchor>
  <xdr:twoCellAnchor>
    <xdr:from>
      <xdr:col>32</xdr:col>
      <xdr:colOff>489857</xdr:colOff>
      <xdr:row>62</xdr:row>
      <xdr:rowOff>108857</xdr:rowOff>
    </xdr:from>
    <xdr:to>
      <xdr:col>34</xdr:col>
      <xdr:colOff>1905000</xdr:colOff>
      <xdr:row>71</xdr:row>
      <xdr:rowOff>163286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64C261C3-ACFC-45F4-816F-0213DBCB7554}"/>
            </a:ext>
          </a:extLst>
        </xdr:cNvPr>
        <xdr:cNvSpPr txBox="1"/>
      </xdr:nvSpPr>
      <xdr:spPr>
        <a:xfrm>
          <a:off x="40380557" y="16141337"/>
          <a:ext cx="3213463" cy="4192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Pour calculer les proportions V-L et BUS d'octobre à janvier, n'ayant que les données de</a:t>
          </a:r>
          <a:r>
            <a:rPr lang="fr-FR" sz="1100" baseline="0"/>
            <a:t> consommation de carburant de tous le parc, une analyse des mois Janvier à Juin concernant le rapport entre les émissions des BUS et des V-L a été faite. Ce rapport a été imputé au mois d'octobre/novembre/décembre afin d'être le plus précis possible.</a:t>
          </a:r>
        </a:p>
        <a:p>
          <a:endParaRPr lang="fr-FR" sz="1100" baseline="0"/>
        </a:p>
        <a:p>
          <a:r>
            <a:rPr lang="fr-FR" sz="1100" baseline="0"/>
            <a:t>Rapport BUS = 95,095%</a:t>
          </a:r>
        </a:p>
        <a:p>
          <a:r>
            <a:rPr lang="fr-FR" sz="1100" baseline="0"/>
            <a:t>Rapport V-L = 4,905%</a:t>
          </a:r>
          <a:endParaRPr lang="fr-FR" sz="1100"/>
        </a:p>
      </xdr:txBody>
    </xdr:sp>
    <xdr:clientData/>
  </xdr:twoCellAnchor>
  <xdr:twoCellAnchor>
    <xdr:from>
      <xdr:col>27</xdr:col>
      <xdr:colOff>2550149</xdr:colOff>
      <xdr:row>65</xdr:row>
      <xdr:rowOff>571</xdr:rowOff>
    </xdr:from>
    <xdr:to>
      <xdr:col>27</xdr:col>
      <xdr:colOff>6856010</xdr:colOff>
      <xdr:row>68</xdr:row>
      <xdr:rowOff>55755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F14826EC-267E-42AB-9804-731A55031E02}"/>
            </a:ext>
          </a:extLst>
        </xdr:cNvPr>
        <xdr:cNvSpPr txBox="1"/>
      </xdr:nvSpPr>
      <xdr:spPr>
        <a:xfrm>
          <a:off x="25593029" y="17176051"/>
          <a:ext cx="4305861" cy="1792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5400" b="1"/>
            <a:t>Somme BUS</a:t>
          </a:r>
        </a:p>
        <a:p>
          <a:r>
            <a:rPr lang="fr-FR" sz="5400" b="1"/>
            <a:t>TOTAL</a:t>
          </a:r>
        </a:p>
      </xdr:txBody>
    </xdr:sp>
    <xdr:clientData/>
  </xdr:twoCellAnchor>
  <xdr:twoCellAnchor>
    <xdr:from>
      <xdr:col>27</xdr:col>
      <xdr:colOff>1561172</xdr:colOff>
      <xdr:row>62</xdr:row>
      <xdr:rowOff>43825</xdr:rowOff>
    </xdr:from>
    <xdr:to>
      <xdr:col>27</xdr:col>
      <xdr:colOff>7192537</xdr:colOff>
      <xdr:row>64</xdr:row>
      <xdr:rowOff>130098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418423B3-107F-4E93-AB12-64B59A606ADB}"/>
            </a:ext>
          </a:extLst>
        </xdr:cNvPr>
        <xdr:cNvSpPr txBox="1"/>
      </xdr:nvSpPr>
      <xdr:spPr>
        <a:xfrm>
          <a:off x="24604052" y="16076305"/>
          <a:ext cx="5631365" cy="1046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5400" b="1"/>
            <a:t>Somme V-L</a:t>
          </a:r>
          <a:r>
            <a:rPr lang="fr-FR" sz="5400" b="1" baseline="0"/>
            <a:t> </a:t>
          </a:r>
          <a:r>
            <a:rPr lang="fr-FR" sz="5400" b="1"/>
            <a:t>TOTAL</a:t>
          </a:r>
        </a:p>
      </xdr:txBody>
    </xdr:sp>
    <xdr:clientData/>
  </xdr:twoCellAnchor>
  <xdr:twoCellAnchor>
    <xdr:from>
      <xdr:col>2</xdr:col>
      <xdr:colOff>54227</xdr:colOff>
      <xdr:row>63</xdr:row>
      <xdr:rowOff>143833</xdr:rowOff>
    </xdr:from>
    <xdr:to>
      <xdr:col>7</xdr:col>
      <xdr:colOff>732155</xdr:colOff>
      <xdr:row>65</xdr:row>
      <xdr:rowOff>95250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91593BCC-2724-4C73-994C-904433D4F1B7}"/>
            </a:ext>
          </a:extLst>
        </xdr:cNvPr>
        <xdr:cNvSpPr txBox="1"/>
      </xdr:nvSpPr>
      <xdr:spPr>
        <a:xfrm>
          <a:off x="1639187" y="16359193"/>
          <a:ext cx="4792728" cy="911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5400" b="1"/>
            <a:t>INTER-URBAIN</a:t>
          </a:r>
        </a:p>
      </xdr:txBody>
    </xdr:sp>
    <xdr:clientData/>
  </xdr:twoCellAnchor>
  <xdr:twoCellAnchor>
    <xdr:from>
      <xdr:col>2</xdr:col>
      <xdr:colOff>54227</xdr:colOff>
      <xdr:row>63</xdr:row>
      <xdr:rowOff>140023</xdr:rowOff>
    </xdr:from>
    <xdr:to>
      <xdr:col>7</xdr:col>
      <xdr:colOff>734060</xdr:colOff>
      <xdr:row>67</xdr:row>
      <xdr:rowOff>114300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6103BD78-2483-4DA9-BABF-9F192A183D70}"/>
            </a:ext>
          </a:extLst>
        </xdr:cNvPr>
        <xdr:cNvSpPr txBox="1"/>
      </xdr:nvSpPr>
      <xdr:spPr>
        <a:xfrm>
          <a:off x="1639187" y="16355383"/>
          <a:ext cx="4794633" cy="1894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5400" b="1"/>
            <a:t>INTER-URBAIN BUS</a:t>
          </a:r>
        </a:p>
      </xdr:txBody>
    </xdr:sp>
    <xdr:clientData/>
  </xdr:twoCellAnchor>
  <xdr:twoCellAnchor>
    <xdr:from>
      <xdr:col>1</xdr:col>
      <xdr:colOff>724787</xdr:colOff>
      <xdr:row>67</xdr:row>
      <xdr:rowOff>399738</xdr:rowOff>
    </xdr:from>
    <xdr:to>
      <xdr:col>7</xdr:col>
      <xdr:colOff>603250</xdr:colOff>
      <xdr:row>72</xdr:row>
      <xdr:rowOff>57150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C7E7A646-8CC7-4EAB-AC56-4AA64114C738}"/>
            </a:ext>
          </a:extLst>
        </xdr:cNvPr>
        <xdr:cNvSpPr txBox="1"/>
      </xdr:nvSpPr>
      <xdr:spPr>
        <a:xfrm>
          <a:off x="1517267" y="18535338"/>
          <a:ext cx="4785743" cy="1874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5400" b="1"/>
            <a:t>INTRA-URBAIN BUS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4</xdr:col>
      <xdr:colOff>239279</xdr:colOff>
      <xdr:row>80</xdr:row>
      <xdr:rowOff>1610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77D1CCA-2E43-437A-A832-245C231C4E97}"/>
            </a:ext>
          </a:extLst>
        </xdr:cNvPr>
        <xdr:cNvSpPr txBox="1"/>
      </xdr:nvSpPr>
      <xdr:spPr>
        <a:xfrm>
          <a:off x="0" y="13997940"/>
          <a:ext cx="3409199" cy="2394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Il n'existait aucun fichier détaillé</a:t>
          </a:r>
          <a:r>
            <a:rPr lang="fr-FR" sz="1100" baseline="0"/>
            <a:t> des déplacements pour 2023</a:t>
          </a:r>
        </a:p>
        <a:p>
          <a:endParaRPr lang="fr-FR" sz="1100" baseline="0"/>
        </a:p>
        <a:p>
          <a:r>
            <a:rPr lang="fr-FR"/>
            <a:t>Par conséquent, nous estimerons la consommation de carburant à partir de</a:t>
          </a:r>
          <a:r>
            <a:rPr lang="fr-FR" baseline="0"/>
            <a:t> toutes les factures de carburant</a:t>
          </a:r>
          <a:r>
            <a:rPr lang="fr-FR"/>
            <a:t>.</a:t>
          </a:r>
        </a:p>
        <a:p>
          <a:endParaRPr lang="fr-FR"/>
        </a:p>
        <a:p>
          <a:r>
            <a:rPr lang="fr-FR"/>
            <a:t>Il est raisonnable de supposer que les véhicules en circulation durant les deux premières semaines de</a:t>
          </a:r>
          <a:r>
            <a:rPr lang="fr-FR" baseline="0"/>
            <a:t> janvier</a:t>
          </a:r>
          <a:r>
            <a:rPr lang="fr-FR"/>
            <a:t> contenaient encore du carburant acquis fin septembre. Pour ajuster cette estimation, nous inclurons bien toute le litrage</a:t>
          </a:r>
          <a:r>
            <a:rPr lang="fr-FR" baseline="0"/>
            <a:t> de carburant de décembre, même si des litres de carburant de ce mois n'ont été consommés qu'en début janvier.</a:t>
          </a:r>
          <a:endParaRPr lang="fr-FR" sz="1100"/>
        </a:p>
      </xdr:txBody>
    </xdr:sp>
    <xdr:clientData/>
  </xdr:twoCellAnchor>
  <xdr:twoCellAnchor>
    <xdr:from>
      <xdr:col>59</xdr:col>
      <xdr:colOff>139700</xdr:colOff>
      <xdr:row>38</xdr:row>
      <xdr:rowOff>149224</xdr:rowOff>
    </xdr:from>
    <xdr:to>
      <xdr:col>79</xdr:col>
      <xdr:colOff>222250</xdr:colOff>
      <xdr:row>76</xdr:row>
      <xdr:rowOff>127000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2578BBD-E8A4-4D54-9101-59C99331F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59</xdr:col>
          <xdr:colOff>556260</xdr:colOff>
          <xdr:row>21</xdr:row>
          <xdr:rowOff>68580</xdr:rowOff>
        </xdr:from>
        <xdr:to>
          <xdr:col>65</xdr:col>
          <xdr:colOff>251460</xdr:colOff>
          <xdr:row>31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E4C65BF5-9231-4D28-99E7-A87376F34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fr-FR" sz="24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Emissions </a:t>
              </a:r>
              <a:r>
                <a:rPr lang="fr-FR" sz="2400" b="1" i="0" u="sng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de CO2e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i\Desktop\Stage\Dupasquier%20Bilan%20Carbone%20Babinot\2.%20Travaux\Emissions+\consomation+\Emission%20de%20CO2+.xlsx.xlsm" TargetMode="External"/><Relationship Id="rId1" Type="http://schemas.openxmlformats.org/officeDocument/2006/relationships/externalLinkPath" Target="/Users/mathi/Desktop/Stage/Dupasquier%20Bilan%20Carbone%20Babinot/2.%20Travaux/Emissions+/consomation+/Emission%20de%20CO2+.xls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nthèse"/>
      <sheetName val="TOTAL"/>
      <sheetName val="Parc Global 2023-2024"/>
      <sheetName val="Parc Global 2023"/>
      <sheetName val="Kilometrage "/>
      <sheetName val="Parc BUS(janvier- juin)"/>
      <sheetName val="(NON ) CO2 par km.P"/>
      <sheetName val="(NON) émission par passager "/>
      <sheetName val="VL Gasoil (janvier- juin)"/>
      <sheetName val="VL ESSENCE(janvier- juin)"/>
      <sheetName val="ELEC (janvier- juin)"/>
      <sheetName val="COMMANDE (octobre-septemb 2024)"/>
      <sheetName val="Commande 2023"/>
      <sheetName val="huile (année)"/>
      <sheetName val="ADBLUE + LR (année complète)"/>
      <sheetName val="Trajet collaborateurs domicile"/>
      <sheetName val="Consommation électrique"/>
      <sheetName val="Fiche idée"/>
    </sheetNames>
    <definedNames>
      <definedName name="RechercherEmissions"/>
    </definedNames>
    <sheetDataSet>
      <sheetData sheetId="0"/>
      <sheetData sheetId="1">
        <row r="7">
          <cell r="K7" t="str">
            <v>Kg CO2e</v>
          </cell>
        </row>
        <row r="8">
          <cell r="J8" t="str">
            <v>Emissions Bus</v>
          </cell>
          <cell r="K8">
            <v>4387963.3836714001</v>
          </cell>
        </row>
        <row r="9">
          <cell r="J9" t="str">
            <v>Emissions V-L</v>
          </cell>
          <cell r="K9">
            <v>220321.6283286</v>
          </cell>
        </row>
        <row r="10">
          <cell r="J10" t="str">
            <v>Emissions Elec totale</v>
          </cell>
          <cell r="K10">
            <v>4516.2520000000004</v>
          </cell>
        </row>
        <row r="11">
          <cell r="J11" t="str">
            <v>Emissions commandes</v>
          </cell>
          <cell r="K11">
            <v>65860.22</v>
          </cell>
        </row>
        <row r="12">
          <cell r="J12" t="str">
            <v>Emissions trajets collaborateurs</v>
          </cell>
          <cell r="K12">
            <v>59935.38</v>
          </cell>
        </row>
      </sheetData>
      <sheetData sheetId="2">
        <row r="64">
          <cell r="AC64">
            <v>220321.6283286</v>
          </cell>
        </row>
        <row r="68">
          <cell r="AC68">
            <v>4387963.3836714001</v>
          </cell>
        </row>
      </sheetData>
      <sheetData sheetId="3">
        <row r="14">
          <cell r="X14">
            <v>325806.6679</v>
          </cell>
          <cell r="AP14">
            <v>374825.86710000009</v>
          </cell>
        </row>
        <row r="16">
          <cell r="F16">
            <v>298754.07010000001</v>
          </cell>
        </row>
        <row r="32">
          <cell r="AP32">
            <v>307984.09200000006</v>
          </cell>
        </row>
        <row r="33">
          <cell r="F33">
            <v>255297.84960000005</v>
          </cell>
          <cell r="X33">
            <v>323921.96540000004</v>
          </cell>
        </row>
        <row r="48">
          <cell r="F48">
            <v>333832.90549999994</v>
          </cell>
        </row>
        <row r="49">
          <cell r="X49">
            <v>185785.16400000005</v>
          </cell>
          <cell r="AP49">
            <v>528830.13099999994</v>
          </cell>
        </row>
        <row r="63">
          <cell r="F63">
            <v>234384.64640000003</v>
          </cell>
        </row>
        <row r="65">
          <cell r="X65">
            <v>158408.8028</v>
          </cell>
        </row>
        <row r="68">
          <cell r="AP68">
            <v>418137.14900000009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B9C2F63-4C46-4C64-821B-9407FA07F478}" name="Tableau24" displayName="Tableau24" ref="J7:K12" totalsRowShown="0">
  <autoFilter ref="J7:K12" xr:uid="{3B9C2F63-4C46-4C64-821B-9407FA07F478}"/>
  <tableColumns count="2">
    <tableColumn id="1" xr3:uid="{84E9F34D-3A45-4E23-B1ED-37A1940A537F}" name="Sources" dataDxfId="32"/>
    <tableColumn id="2" xr3:uid="{30C8644D-FE43-464F-B4E6-5E1D797914A4}" name="Kg CO2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B6E9E7-66DA-4B1B-92C5-448969CD5351}" name="Tableau2439" displayName="Tableau2439" ref="O8:P13" totalsRowShown="0">
  <autoFilter ref="O8:P13" xr:uid="{AFB6E9E7-66DA-4B1B-92C5-448969CD5351}"/>
  <tableColumns count="2">
    <tableColumn id="1" xr3:uid="{8D552323-F4DA-4A01-AA73-576F432C2AB3}" name="Sources" dataDxfId="31"/>
    <tableColumn id="2" xr3:uid="{FD0A8312-58B3-4E17-A954-7216CE6E2778}" name="Kg CO2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4AF2D1A-40C6-4968-A7C8-1BB3F7E5953A}" name="Tableau18" displayName="Tableau18" ref="B11:G14" totalsRowShown="0" headerRowDxfId="30">
  <autoFilter ref="B11:G14" xr:uid="{C4AF2D1A-40C6-4968-A7C8-1BB3F7E5953A}"/>
  <tableColumns count="6">
    <tableColumn id="1" xr3:uid="{5A296C53-8448-475E-B792-A794A71C8479}" name="Nom" dataDxfId="29"/>
    <tableColumn id="2" xr3:uid="{6C87E659-96E5-46F2-9E71-DA0F0569E02D}" name="Effectif" dataDxfId="28"/>
    <tableColumn id="3" xr3:uid="{F91DAC3B-3D81-46B2-9E98-F6D088B9B5F3}" name="Kg CO2e" dataDxfId="27"/>
    <tableColumn id="4" xr3:uid="{3327A1BC-466B-45CF-A7E5-5777C948E7AA}" name="CA" dataDxfId="26"/>
    <tableColumn id="5" xr3:uid="{699A0DA3-CF0E-4E45-ABD3-F0EBB3559999}" name="Rapport Kg CO2e/€">
      <calculatedColumnFormula>D12/E12</calculatedColumnFormula>
    </tableColumn>
    <tableColumn id="6" xr3:uid="{5389AE5B-C6C9-4C53-8F4C-47EE3E4B3DF0}" name="Lieu" dataDxfId="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234DB3-BF99-4CB9-84A3-DBF66F777767}" name="Tableau29" displayName="Tableau29" ref="N32:O33" totalsRowShown="0" headerRowDxfId="24">
  <autoFilter ref="N32:O33" xr:uid="{B3234DB3-BF99-4CB9-84A3-DBF66F777767}"/>
  <tableColumns count="2">
    <tableColumn id="1" xr3:uid="{93427610-2C0B-4F00-80F8-1808CE45FBD7}" name="Sources" dataDxfId="23"/>
    <tableColumn id="2" xr3:uid="{AED7B9F0-7491-4B3D-AD02-B7278635C84D}" name="K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0EE05-E144-40BB-A319-4EDFE8FD7B4D}" name="Tableau573" displayName="Tableau573" ref="J2:J7" totalsRowCount="1" headerRowDxfId="49" totalsRowCellStyle="Insatisfaisant">
  <autoFilter ref="J2:J6" xr:uid="{A650EE05-E144-40BB-A319-4EDFE8FD7B4D}"/>
  <tableColumns count="1">
    <tableColumn id="1" xr3:uid="{25A8F1FD-36C2-49C3-BDF2-C6047D51BB14}" name="16-oct" totalsRowFunction="custom" totalsRowCellStyle="Insatisfaisant">
      <totalsRowFormula>SUM(Tableau573[16-oct])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850F11-0D8D-4EFB-80EF-BACF75AE9806}" name="Tableau674" displayName="Tableau674" ref="L2:L5" totalsRowShown="0" headerRowDxfId="48">
  <autoFilter ref="L2:L5" xr:uid="{2B850F11-0D8D-4EFB-80EF-BACF75AE9806}"/>
  <tableColumns count="1">
    <tableColumn id="1" xr3:uid="{F38802B5-5801-41B0-B80E-90D23FCE9A93}" name="31-oc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2015AD-6CA1-4DAB-9F4B-724BE16FA73E}" name="Tableau875" displayName="Tableau875" ref="H2:H3" totalsRowShown="0" headerRowDxfId="47" dataCellStyle="Insatisfaisant">
  <autoFilter ref="H2:H3" xr:uid="{D72015AD-6CA1-4DAB-9F4B-724BE16FA73E}"/>
  <tableColumns count="1">
    <tableColumn id="1" xr3:uid="{5D2EB541-8FEA-48E5-A29F-E0176FEAE07E}" name="16-oct" dataCellStyle="Insatisfaisan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953AAE-B2B2-4B25-9197-69B028816D51}" name="Tableau976" displayName="Tableau976" ref="D2:F4" totalsRowShown="0" headerRowDxfId="46">
  <autoFilter ref="D2:F4" xr:uid="{EA953AAE-B2B2-4B25-9197-69B028816D51}"/>
  <tableColumns count="3">
    <tableColumn id="1" xr3:uid="{9BDD97EE-653E-4B90-8461-1D4FB26426E4}" name="10-oct"/>
    <tableColumn id="2" xr3:uid="{DDDDCE7B-F889-4645-8C5C-1E7619B108A5}" name="20-oct"/>
    <tableColumn id="3" xr3:uid="{C65C4999-7655-49A2-A001-E95BE7335116}" name="30-oct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F0E6A5-8352-47B7-83DC-E54FCA278E20}" name="Tableau2177" displayName="Tableau2177" ref="N2:Q5" totalsRowShown="0" headerRowDxfId="45">
  <autoFilter ref="N2:Q5" xr:uid="{4CF0E6A5-8352-47B7-83DC-E54FCA278E20}"/>
  <tableColumns count="4">
    <tableColumn id="1" xr3:uid="{AB3AC56B-193D-4FBE-AC4E-2449DC760630}" name="08-oct"/>
    <tableColumn id="2" xr3:uid="{3F22B952-A03B-4AC9-9549-F640903F1A74}" name="15-oct"/>
    <tableColumn id="3" xr3:uid="{17FC8D15-D974-4B17-A03F-452C607303A0}" name="23-oct"/>
    <tableColumn id="4" xr3:uid="{A4749B49-92FB-45ED-85B7-2FE46ABC9FFE}" name="31-oct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D90FC8-741E-4215-B08A-15D81D4546D5}" name="Tableau166778" displayName="Tableau166778" ref="T35:V60" totalsRowShown="0" headerRowDxfId="44">
  <autoFilter ref="T35:V60" xr:uid="{75D90FC8-741E-4215-B08A-15D81D4546D5}"/>
  <tableColumns count="3">
    <tableColumn id="1" xr3:uid="{5AA39F04-EFE2-4B4E-AFC2-8C7E09975539}" name="04-déc"/>
    <tableColumn id="2" xr3:uid="{A29374AF-D0C8-4745-BABA-B2CBD08B179D}" name="19-déc"/>
    <tableColumn id="3" xr3:uid="{0FCA648C-250E-4659-B2CE-184CFF53DD6F}" name="30-déc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71D048-71E3-4FA9-9E5E-03B51717F89F}" name="Tableau176879" displayName="Tableau176879" ref="F35:H36" totalsRowShown="0" headerRowDxfId="43" dataCellStyle="Insatisfaisant">
  <autoFilter ref="F35:H36" xr:uid="{7671D048-71E3-4FA9-9E5E-03B51717F89F}"/>
  <tableColumns count="3">
    <tableColumn id="1" xr3:uid="{E4346451-409C-42CE-BC8D-805D0D7EE446}" name="10-déc" dataCellStyle="Insatisfaisant"/>
    <tableColumn id="2" xr3:uid="{06A821C9-2564-4F7F-B8BF-83BD8CE270B6}" name="20-déc" dataCellStyle="Insatisfaisant"/>
    <tableColumn id="3" xr3:uid="{FE6CE775-A1BA-48A6-9E41-E2B5B35E460D}" name="30-déc" dataCellStyle="Insatisfaisant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F964BF-C874-4315-90B1-8B5CC16979C8}" name="Tableau186980" displayName="Tableau186980" ref="O35:O39" totalsRowShown="0" headerRowDxfId="42">
  <autoFilter ref="O35:O39" xr:uid="{40F964BF-C874-4315-90B1-8B5CC16979C8}"/>
  <tableColumns count="1">
    <tableColumn id="1" xr3:uid="{0D91C9FD-6D37-497D-9D14-27671E47B210}" name="01-déc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821AA6-F862-4285-A197-5356EA5B38A3}" name="Tableau197081" displayName="Tableau197081" ref="Q35:Q37" totalsRowShown="0" headerRowDxfId="41" headerRowCellStyle="Neutre" dataCellStyle="Neutre">
  <autoFilter ref="Q35:Q37" xr:uid="{EC821AA6-F862-4285-A197-5356EA5B38A3}"/>
  <tableColumns count="1">
    <tableColumn id="1" xr3:uid="{379A94AA-F524-42BC-AFCC-82A9EAA6E915}" name="15-déc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AF0638-5331-42E4-B161-1150C76A4561}" name="Tableau207182" displayName="Tableau207182" ref="R35:R36" totalsRowShown="0" headerRowDxfId="40" dataCellStyle="Insatisfaisant">
  <autoFilter ref="R35:R36" xr:uid="{D1AF0638-5331-42E4-B161-1150C76A4561}"/>
  <tableColumns count="1">
    <tableColumn id="1" xr3:uid="{1518A125-8EAA-4111-AB17-845B79124B35}" name="31-déc" dataCellStyle="Insatisfaisant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ADAC43-C1EA-49EE-87AC-41C339FC87FB}" name="Tableau237283" displayName="Tableau237283" ref="J36:M38" totalsRowShown="0" headerRowDxfId="39">
  <autoFilter ref="J36:M38" xr:uid="{D7ADAC43-C1EA-49EE-87AC-41C339FC87FB}"/>
  <tableColumns count="4">
    <tableColumn id="1" xr3:uid="{2FF49F43-03CC-45A2-A7E6-7AA0C22936D2}" name="08-déc"/>
    <tableColumn id="2" xr3:uid="{1639F124-1915-4948-95DA-867718957C29}" name="15-déc"/>
    <tableColumn id="3" xr3:uid="{8CB918A0-A6E3-42AA-B08D-36111152AA3C}" name="23-déc"/>
    <tableColumn id="4" xr3:uid="{C02CC52C-B765-4B62-A086-94EF76F2E8FF}" name="31-déc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849B26-B60B-4108-B29E-E15F4AE9DEC9}" name="Tableau1184" displayName="Tableau1184" ref="R19:R23" totalsRowCount="1" headerRowDxfId="38" totalsRowCellStyle="Insatisfaisant">
  <autoFilter ref="R19:R22" xr:uid="{0C849B26-B60B-4108-B29E-E15F4AE9DEC9}"/>
  <tableColumns count="1">
    <tableColumn id="1" xr3:uid="{DE841B0C-F10C-4B6C-9FD0-226B3EDEAE18}" name="08-nov" totalsRowFunction="custom" totalsRowCellStyle="Insatisfaisant">
      <totalsRowFormula>SUM(Tableau1184[08-nov])</totalsRowFormula>
    </tableColumn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0977E2-A535-4AEA-AD61-D4C24081C45E}" name="Tableau1285" displayName="Tableau1285" ref="S19:T20" totalsRowShown="0" headerRowDxfId="37">
  <autoFilter ref="S19:T20" xr:uid="{210977E2-A535-4AEA-AD61-D4C24081C45E}"/>
  <tableColumns count="2">
    <tableColumn id="1" xr3:uid="{1ED9CC76-F5FE-43FF-A34D-F13C90015EE5}" name="15-nov"/>
    <tableColumn id="2" xr3:uid="{BC547C05-36D0-4018-8027-D21DF79A4037}" name="30-nov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03512D-A44F-4EE2-A22E-C04A97DBFD09}" name="Tableau1386" displayName="Tableau1386" ref="O19:P24" totalsRowCount="1" headerRowDxfId="36" totalsRowCellStyle="Insatisfaisant">
  <autoFilter ref="O19:P23" xr:uid="{6603512D-A44F-4EE2-A22E-C04A97DBFD09}"/>
  <tableColumns count="2">
    <tableColumn id="1" xr3:uid="{FFCDDF1D-2165-4460-9CCE-20153A495E17}" name="02-nov" totalsRowFunction="custom" totalsRowCellStyle="Insatisfaisant">
      <totalsRowFormula>SUM(Tableau1386[02-nov])</totalsRowFormula>
    </tableColumn>
    <tableColumn id="2" xr3:uid="{0EF17CC9-8016-4A18-980C-571B863837BA}" name="16-nov" totalsRowFunction="custom" totalsRowCellStyle="Insatisfaisant">
      <totalsRowFormula>SUM(Tableau1386[16-nov])</totalsRowFormula>
    </tableColumn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2E04F8-3247-49F4-B0E8-E71781079EEB}" name="Tableau1487" displayName="Tableau1487" ref="F19:H20" totalsRowShown="0" headerRowDxfId="35" dataCellStyle="Insatisfaisant">
  <autoFilter ref="F19:H20" xr:uid="{A92E04F8-3247-49F4-B0E8-E71781079EEB}"/>
  <tableColumns count="3">
    <tableColumn id="1" xr3:uid="{0220F285-1290-4E15-A049-CECCCAF457F4}" name="10-nov" dataCellStyle="Insatisfaisant"/>
    <tableColumn id="2" xr3:uid="{D2EB415A-026C-445C-8D7B-1974A8FD4545}" name="20-nov" dataCellStyle="Insatisfaisant"/>
    <tableColumn id="3" xr3:uid="{39E8EED9-668D-4987-A08E-3F38BE22ABC2}" name="30-nov" dataCellStyle="Insatisfaisant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A00C6B-8D0B-4821-BCA3-717E8C68CD9D}" name="Tableau1588" displayName="Tableau1588" ref="V19:W30" totalsRowShown="0" headerRowDxfId="34">
  <autoFilter ref="V19:W30" xr:uid="{35A00C6B-8D0B-4821-BCA3-717E8C68CD9D}"/>
  <tableColumns count="2">
    <tableColumn id="1" xr3:uid="{57A1F8AF-EF31-4E37-8426-986F37F357E7}" name="02-nov"/>
    <tableColumn id="2" xr3:uid="{F5CF3CEA-714A-4EBD-A30E-717D151AAC44}" name="16-nov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4B1BAC1-F3A7-4210-A95F-98240CE3969A}" name="Tableau2289" displayName="Tableau2289" ref="J19:M21" totalsRowShown="0" headerRowDxfId="33">
  <autoFilter ref="J19:M21" xr:uid="{A4B1BAC1-F3A7-4210-A95F-98240CE3969A}"/>
  <tableColumns count="4">
    <tableColumn id="1" xr3:uid="{9208154E-7D82-40FF-A6DB-EEC43AC4DE51}" name="08-nov">
      <calculatedColumnFormula>477.75+35.55</calculatedColumnFormula>
    </tableColumn>
    <tableColumn id="2" xr3:uid="{2DFA3742-8E44-440F-80F8-B357844F98E1}" name="15-nov"/>
    <tableColumn id="3" xr3:uid="{11517949-C22B-481A-9A05-C058049C8610}" name="23-nov"/>
    <tableColumn id="4" xr3:uid="{DF4E5E8C-8804-4D8F-840E-12D59553683D}" name="30-nov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06451B7-3D6C-4DA7-B1BA-4B5A74980C3B}" name="Tableau3952" displayName="Tableau3952" ref="C21:E22" totalsRowShown="0" headerRowDxfId="22" headerRowCellStyle="Normal 2" dataCellStyle="Insatisfaisant">
  <autoFilter ref="C21:E22" xr:uid="{D06451B7-3D6C-4DA7-B1BA-4B5A74980C3B}"/>
  <tableColumns count="3">
    <tableColumn id="1" xr3:uid="{94A8C6CE-F21F-4A73-87BE-539CF4222BF6}" name="10-févr" dataCellStyle="Insatisfaisant"/>
    <tableColumn id="2" xr3:uid="{CD8E6C87-5968-471C-A11F-2CADA36519D7}" name="20-févr" dataCellStyle="Insatisfaisant"/>
    <tableColumn id="3" xr3:uid="{013005F5-B054-43C1-BDD7-3F4C7F2DEE43}" name="28-févr" dataCellStyle="Insatisfaisant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CA7E989-1DDD-4110-BD56-4DD9C2181E73}" name="Tableau4053" displayName="Tableau4053" ref="G21:H23" totalsRowShown="0" dataCellStyle="Insatisfaisant">
  <autoFilter ref="G21:H23" xr:uid="{DCA7E989-1DDD-4110-BD56-4DD9C2181E73}"/>
  <tableColumns count="2">
    <tableColumn id="1" xr3:uid="{09E68731-9142-4B89-BAE0-4DB1AD469BF7}" name="15-févr" dataCellStyle="Insatisfaisant"/>
    <tableColumn id="2" xr3:uid="{BD3F09A5-49D6-420B-826E-AA2F730610EE}" name="28-févr" dataCellStyle="Insatisfaisant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465354A-9708-4EE6-AFC9-B5A8AB0E1678}" name="Tableau4154" displayName="Tableau4154" ref="J21:K23" totalsRowShown="0" headerRowDxfId="21" headerRowCellStyle="Normal 2" dataCellStyle="Insatisfaisant">
  <autoFilter ref="J21:K23" xr:uid="{3465354A-9708-4EE6-AFC9-B5A8AB0E1678}"/>
  <tableColumns count="2">
    <tableColumn id="1" xr3:uid="{9EC5449E-7D0F-4DEE-B5D2-DCFE3102E550}" name="15-févr" dataCellStyle="Insatisfaisant"/>
    <tableColumn id="2" xr3:uid="{687AAF57-BE38-4E74-B483-2D6BB439F61C}" name="28-févr" dataCellStyle="Insatisfaisant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E545F54-5327-4CCB-B2B4-B69E8EAF12EA}" name="Tableau4255" displayName="Tableau4255" ref="M21:N24" totalsRowShown="0">
  <autoFilter ref="M21:N24" xr:uid="{5E545F54-5327-4CCB-B2B4-B69E8EAF12EA}"/>
  <tableColumns count="2">
    <tableColumn id="1" xr3:uid="{ECB63FB9-8414-4DE4-AE32-2A71DBCC9617}" name="15-févr"/>
    <tableColumn id="2" xr3:uid="{6F667D6B-1C9C-48C1-9A2A-9E059953C91D}" name="28-févr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AFC983C-5278-46A7-AA23-654C04467F24}" name="Tableau3456" displayName="Tableau3456" ref="C3:E4" totalsRowShown="0" headerRowDxfId="20" headerRowCellStyle="Insatisfaisant" dataCellStyle="Insatisfaisant">
  <autoFilter ref="C3:E4" xr:uid="{DAFC983C-5278-46A7-AA23-654C04467F24}"/>
  <tableColumns count="3">
    <tableColumn id="1" xr3:uid="{174AA69B-AB33-44B2-A948-0727E28F4FA3}" name="10-janv" dataCellStyle="Insatisfaisant"/>
    <tableColumn id="2" xr3:uid="{34794CD4-3B8C-440D-9028-EC4FC321E8A9}" name="20-janv" dataCellStyle="Insatisfaisant"/>
    <tableColumn id="3" xr3:uid="{6829278A-394E-44E7-926D-40078D0D57E3}" name="31-janv" dataCellStyle="Insatisfaisant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9BD406B-135F-4D76-97B0-6AE0AA137D4B}" name="Tableau3759" displayName="Tableau3759" ref="M3:N6" totalsRowShown="0" headerRowDxfId="19" headerRowCellStyle="Normal 2">
  <autoFilter ref="M3:N6" xr:uid="{C9BD406B-135F-4D76-97B0-6AE0AA137D4B}"/>
  <tableColumns count="2">
    <tableColumn id="1" xr3:uid="{3F90EED8-D40D-4B45-90B7-07A7243D504A}" name="15-janv"/>
    <tableColumn id="2" xr3:uid="{B45ECFC2-3254-4280-824C-5E016E59AD5A}" name="31-janv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AADCD29-F733-44C1-8603-88DF80A52C99}" name="Tableau3557" displayName="Tableau3557" ref="G3:H5" totalsRowShown="0" headerRowDxfId="18" headerRowCellStyle="Normal 2" dataCellStyle="Insatisfaisant">
  <autoFilter ref="G3:H5" xr:uid="{2AADCD29-F733-44C1-8603-88DF80A52C99}"/>
  <tableColumns count="2">
    <tableColumn id="1" xr3:uid="{6C790CEA-0E4F-4A2F-878E-68E5D56F0E6E}" name="15-janv" dataCellStyle="Insatisfaisant"/>
    <tableColumn id="2" xr3:uid="{E7A7ED84-98C6-4AF7-9A97-DBEDB1FEC0EA}" name="31-janv" dataCellStyle="Insatisfaisant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4194693-7F85-4703-8DCE-CE30C729435D}" name="Tableau3658" displayName="Tableau3658" ref="J3:K5" totalsRowShown="0" headerRowDxfId="17" headerRowCellStyle="Normal 2" dataCellStyle="Insatisfaisant">
  <autoFilter ref="J3:K5" xr:uid="{C4194693-7F85-4703-8DCE-CE30C729435D}"/>
  <tableColumns count="2">
    <tableColumn id="1" xr3:uid="{1CD697E3-8754-4D20-A343-F7455B320EEB}" name="15-janv" dataCellStyle="Insatisfaisant"/>
    <tableColumn id="2" xr3:uid="{3776ED80-39B5-4F9B-B0FA-A0E730BBC34D}" name="31-janv" dataCellStyle="Insatisfaisant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3C17D1F-2D30-49AF-B3F6-27D29489F7B5}" name="Tableau5" displayName="Tableau5" ref="AR20:AR25" totalsRowCount="1" headerRowDxfId="16" totalsRowCellStyle="Insatisfaisant">
  <autoFilter ref="AR20:AR24" xr:uid="{53C17D1F-2D30-49AF-B3F6-27D29489F7B5}"/>
  <tableColumns count="1">
    <tableColumn id="1" xr3:uid="{1617A7F2-1E8F-411A-B76A-F26F17DAE305}" name="16-oct" totalsRowFunction="custom" totalsRowCellStyle="Insatisfaisant">
      <totalsRowFormula>SUM(Tableau5[16-oct])</totalsRowFormula>
    </tableColumn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77842F1-8855-49FF-9CDC-B2C516248305}" name="Tableau6" displayName="Tableau6" ref="AT20:AT23" totalsRowShown="0" headerRowDxfId="15">
  <autoFilter ref="AT20:AT23" xr:uid="{E77842F1-8855-49FF-9CDC-B2C516248305}"/>
  <tableColumns count="1">
    <tableColumn id="1" xr3:uid="{D472A13E-315F-43FB-A39E-31FD17B7BD90}" name="31-oct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37E3E91-598D-49A0-BC57-210C720785FC}" name="Tableau8" displayName="Tableau8" ref="AP20:AP21" totalsRowShown="0" headerRowDxfId="14" dataCellStyle="Insatisfaisant">
  <autoFilter ref="AP20:AP21" xr:uid="{737E3E91-598D-49A0-BC57-210C720785FC}"/>
  <tableColumns count="1">
    <tableColumn id="1" xr3:uid="{28C90A7A-3653-46A4-B38C-7FFB633E6B67}" name="16-oct" dataCellStyle="Insatisfaisant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B4FB434-DC94-4EA8-917A-09DC18BDD8CF}" name="Tableau9" displayName="Tableau9" ref="AL20:AN22" totalsRowShown="0" headerRowDxfId="13">
  <autoFilter ref="AL20:AN22" xr:uid="{BB4FB434-DC94-4EA8-917A-09DC18BDD8CF}"/>
  <tableColumns count="3">
    <tableColumn id="1" xr3:uid="{0952824B-F985-4B55-84EB-60CB9AFAF1EC}" name="10-oct"/>
    <tableColumn id="2" xr3:uid="{18AF59B0-4972-488E-95FE-B0F02CA0FAAF}" name="20-oct"/>
    <tableColumn id="3" xr3:uid="{81DE48C8-0242-46C4-B140-0628A0092C2D}" name="30-oct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7674A5A-6D94-4654-9523-7B82DC1EB316}" name="Tableau21" displayName="Tableau21" ref="AV20:AY23" totalsRowShown="0" headerRowDxfId="12">
  <autoFilter ref="AV20:AY23" xr:uid="{A7674A5A-6D94-4654-9523-7B82DC1EB316}"/>
  <tableColumns count="4">
    <tableColumn id="1" xr3:uid="{0876F697-5CF4-4E68-A4B8-75042090A98B}" name="08-oct"/>
    <tableColumn id="2" xr3:uid="{BFA24445-E41F-404F-888D-7AC7875F7574}" name="15-oct"/>
    <tableColumn id="3" xr3:uid="{2AD02AB1-4B03-489A-AA9C-383B51BCEF06}" name="23-oct"/>
    <tableColumn id="4" xr3:uid="{D4CD91FF-982B-4DA8-8F5C-6186862AD37F}" name="31-oct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45414B2-B770-4542-AA65-2AF14B05F7D3}" name="Tableau1667" displayName="Tableau1667" ref="BB53:BD78" totalsRowShown="0" headerRowDxfId="11">
  <autoFilter ref="BB53:BD78" xr:uid="{245414B2-B770-4542-AA65-2AF14B05F7D3}"/>
  <tableColumns count="3">
    <tableColumn id="1" xr3:uid="{FDD60B86-CC45-4785-B7FF-54928B3C5B1C}" name="04-déc"/>
    <tableColumn id="2" xr3:uid="{1FB8E823-BCD1-4DC7-A17A-C1D60A69B98E}" name="19-déc"/>
    <tableColumn id="3" xr3:uid="{B7DEEDC4-E66F-438C-9A39-646DCB9012A5}" name="30-déc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4A02304-C726-4D9A-8709-8AFD1B460F3C}" name="Tableau1768" displayName="Tableau1768" ref="AN53:AP54" totalsRowShown="0" headerRowDxfId="10" dataCellStyle="Insatisfaisant">
  <autoFilter ref="AN53:AP54" xr:uid="{A4A02304-C726-4D9A-8709-8AFD1B460F3C}"/>
  <tableColumns count="3">
    <tableColumn id="1" xr3:uid="{0F3BED4B-9C2C-4814-B14B-07EB41DCE236}" name="10-déc" dataCellStyle="Insatisfaisant"/>
    <tableColumn id="2" xr3:uid="{384122EF-4D99-4EB2-8753-632FBD6C54D7}" name="20-déc" dataCellStyle="Insatisfaisant"/>
    <tableColumn id="3" xr3:uid="{86D8A4BB-3021-49E0-9C8D-92E3A328C7B7}" name="30-déc" dataCellStyle="Insatisfaisant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BFFB891-B11B-45C1-8132-9CC4C456F95C}" name="Tableau1869" displayName="Tableau1869" ref="AW53:AW57" totalsRowShown="0" headerRowDxfId="9">
  <autoFilter ref="AW53:AW57" xr:uid="{5BFFB891-B11B-45C1-8132-9CC4C456F95C}"/>
  <tableColumns count="1">
    <tableColumn id="1" xr3:uid="{2D0C9289-A07B-4A39-B04E-E08B095CF724}" name="01-déc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DA61293-09B0-4BF1-A059-AA2468ADA792}" name="Tableau1970" displayName="Tableau1970" ref="AY53:AY55" totalsRowShown="0" headerRowDxfId="8" headerRowCellStyle="Neutre" dataCellStyle="Neutre">
  <autoFilter ref="AY53:AY55" xr:uid="{DDA61293-09B0-4BF1-A059-AA2468ADA792}"/>
  <tableColumns count="1">
    <tableColumn id="1" xr3:uid="{557370A8-18ED-488D-85F2-A2861B16E799}" name="15-déc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00665E4-8EB8-4472-98D6-0C0E0F81B897}" name="Tableau2071" displayName="Tableau2071" ref="AZ53:AZ54" totalsRowShown="0" headerRowDxfId="7" dataCellStyle="Insatisfaisant">
  <autoFilter ref="AZ53:AZ54" xr:uid="{400665E4-8EB8-4472-98D6-0C0E0F81B897}"/>
  <tableColumns count="1">
    <tableColumn id="1" xr3:uid="{6AD3EDD2-AE47-4816-9B93-D0E5FADE8192}" name="31-déc" dataCellStyle="Insatisfaisant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E45BB44-9A4A-4AA7-8EFD-AA732F2257DC}" name="Tableau2372" displayName="Tableau2372" ref="AR54:AU56" totalsRowShown="0" headerRowDxfId="6">
  <autoFilter ref="AR54:AU56" xr:uid="{EE45BB44-9A4A-4AA7-8EFD-AA732F2257DC}"/>
  <tableColumns count="4">
    <tableColumn id="1" xr3:uid="{0E162400-DA52-42AC-8189-C0B53DE159A4}" name="08-déc"/>
    <tableColumn id="2" xr3:uid="{4650A0FC-AA65-453B-92B7-63C33A14C920}" name="15-déc"/>
    <tableColumn id="3" xr3:uid="{593BE8DF-D03C-417F-8D3F-F2DD21DC332A}" name="23-déc"/>
    <tableColumn id="4" xr3:uid="{C4FE5E3C-5505-43ED-9D5D-7CCE0EDDB965}" name="31-déc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284E939-EF9F-4101-A1C5-B990109416C5}" name="Tableau11" displayName="Tableau11" ref="AZ37:AZ41" totalsRowCount="1" headerRowDxfId="5" totalsRowCellStyle="Insatisfaisant">
  <autoFilter ref="AZ37:AZ40" xr:uid="{D284E939-EF9F-4101-A1C5-B990109416C5}"/>
  <tableColumns count="1">
    <tableColumn id="1" xr3:uid="{BB1ECAE6-4D56-467B-9F47-06334E99D905}" name="08-nov" totalsRowFunction="custom" totalsRowCellStyle="Insatisfaisant">
      <totalsRowFormula>SUM(Tableau11[08-nov])</totalsRowFormula>
    </tableColumn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29494CDE-6381-48D1-A945-59F273697178}" name="Tableau12" displayName="Tableau12" ref="BA37:BB38" totalsRowShown="0" headerRowDxfId="4">
  <autoFilter ref="BA37:BB38" xr:uid="{29494CDE-6381-48D1-A945-59F273697178}"/>
  <tableColumns count="2">
    <tableColumn id="1" xr3:uid="{9D2E0417-BE5E-43CC-BEFB-FCEC2A6DC787}" name="15-nov"/>
    <tableColumn id="2" xr3:uid="{28EE33B9-8556-43DF-8875-034C4B823DA5}" name="30-nov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FA82452-85ED-4D6D-8627-48F3FBE7C15E}" name="Tableau13" displayName="Tableau13" ref="AW37:AX42" totalsRowCount="1" headerRowDxfId="3" totalsRowCellStyle="Insatisfaisant">
  <autoFilter ref="AW37:AX41" xr:uid="{6FA82452-85ED-4D6D-8627-48F3FBE7C15E}"/>
  <tableColumns count="2">
    <tableColumn id="1" xr3:uid="{D8BEA9D7-2AED-42D3-A50A-8CAA96FB2F64}" name="02-nov" totalsRowFunction="custom" totalsRowCellStyle="Insatisfaisant">
      <totalsRowFormula>SUM(Tableau13[02-nov])</totalsRowFormula>
    </tableColumn>
    <tableColumn id="2" xr3:uid="{B62BD9A1-C504-468B-86FF-1134FD4FC9D0}" name="16-nov" totalsRowFunction="custom" totalsRowCellStyle="Insatisfaisant">
      <totalsRowFormula>SUM(Tableau13[16-nov])</totalsRowFormula>
    </tableColumn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0ABAB39-11A5-4BDF-97BE-877F4A7E8E23}" name="Tableau14" displayName="Tableau14" ref="AN37:AP38" totalsRowShown="0" headerRowDxfId="2" dataCellStyle="Insatisfaisant">
  <autoFilter ref="AN37:AP38" xr:uid="{20ABAB39-11A5-4BDF-97BE-877F4A7E8E23}"/>
  <tableColumns count="3">
    <tableColumn id="1" xr3:uid="{58084C80-9ED4-43F8-A37D-A31F72FDDA88}" name="10-nov" dataCellStyle="Insatisfaisant"/>
    <tableColumn id="2" xr3:uid="{5DD4BC84-CB9E-406B-A749-3BFC77356216}" name="20-nov" dataCellStyle="Insatisfaisant"/>
    <tableColumn id="3" xr3:uid="{B2D993BF-4D77-410C-9858-F4EB83AD8F4E}" name="30-nov" dataCellStyle="Insatisfaisant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D2FF9A9-E918-455F-81DD-773CFF16E935}" name="Tableau15" displayName="Tableau15" ref="BD37:BE48" totalsRowShown="0" headerRowDxfId="1">
  <autoFilter ref="BD37:BE48" xr:uid="{7D2FF9A9-E918-455F-81DD-773CFF16E935}"/>
  <tableColumns count="2">
    <tableColumn id="1" xr3:uid="{69BE40AC-30FC-40C9-A384-28B5F5215A99}" name="02-nov"/>
    <tableColumn id="2" xr3:uid="{786CCD89-C7E8-4FB1-ABC6-CC39408F9FDD}" name="16-nov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DF55105-C4BD-4B0D-A62A-64AAD97D49AB}" name="Tableau22" displayName="Tableau22" ref="AR37:AU39" totalsRowShown="0" headerRowDxfId="0">
  <autoFilter ref="AR37:AU39" xr:uid="{5DF55105-C4BD-4B0D-A62A-64AAD97D49AB}"/>
  <tableColumns count="4">
    <tableColumn id="1" xr3:uid="{29CDDE86-57E5-45E4-8C53-CE9C43259505}" name="08-nov">
      <calculatedColumnFormula>477.75+35.55</calculatedColumnFormula>
    </tableColumn>
    <tableColumn id="2" xr3:uid="{BF0F4751-C1D0-4CE9-AF4A-2839D43887BF}" name="15-nov"/>
    <tableColumn id="3" xr3:uid="{B944F3FC-91A9-4A34-B896-8C66A9F3CD1E}" name="23-nov"/>
    <tableColumn id="4" xr3:uid="{66AA8C51-2566-4499-92E3-C14C048DC0B4}" name="30-no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18" Type="http://schemas.openxmlformats.org/officeDocument/2006/relationships/table" Target="../tables/table2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table" Target="../tables/table5.xml"/><Relationship Id="rId16" Type="http://schemas.openxmlformats.org/officeDocument/2006/relationships/table" Target="../tables/table19.xml"/><Relationship Id="rId1" Type="http://schemas.openxmlformats.org/officeDocument/2006/relationships/drawing" Target="../drawings/drawing2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13" Type="http://schemas.openxmlformats.org/officeDocument/2006/relationships/table" Target="../tables/table31.xml"/><Relationship Id="rId18" Type="http://schemas.openxmlformats.org/officeDocument/2006/relationships/table" Target="../tables/table36.xml"/><Relationship Id="rId26" Type="http://schemas.openxmlformats.org/officeDocument/2006/relationships/table" Target="../tables/table44.xml"/><Relationship Id="rId3" Type="http://schemas.openxmlformats.org/officeDocument/2006/relationships/ctrlProp" Target="../ctrlProps/ctrlProp1.xml"/><Relationship Id="rId21" Type="http://schemas.openxmlformats.org/officeDocument/2006/relationships/table" Target="../tables/table39.xml"/><Relationship Id="rId7" Type="http://schemas.openxmlformats.org/officeDocument/2006/relationships/table" Target="../tables/table25.xml"/><Relationship Id="rId12" Type="http://schemas.openxmlformats.org/officeDocument/2006/relationships/table" Target="../tables/table30.xml"/><Relationship Id="rId17" Type="http://schemas.openxmlformats.org/officeDocument/2006/relationships/table" Target="../tables/table35.xml"/><Relationship Id="rId25" Type="http://schemas.openxmlformats.org/officeDocument/2006/relationships/table" Target="../tables/table43.xml"/><Relationship Id="rId2" Type="http://schemas.openxmlformats.org/officeDocument/2006/relationships/vmlDrawing" Target="../drawings/vmlDrawing1.vml"/><Relationship Id="rId16" Type="http://schemas.openxmlformats.org/officeDocument/2006/relationships/table" Target="../tables/table34.xml"/><Relationship Id="rId20" Type="http://schemas.openxmlformats.org/officeDocument/2006/relationships/table" Target="../tables/table38.xml"/><Relationship Id="rId1" Type="http://schemas.openxmlformats.org/officeDocument/2006/relationships/drawing" Target="../drawings/drawing3.xml"/><Relationship Id="rId6" Type="http://schemas.openxmlformats.org/officeDocument/2006/relationships/table" Target="../tables/table24.xml"/><Relationship Id="rId11" Type="http://schemas.openxmlformats.org/officeDocument/2006/relationships/table" Target="../tables/table29.xml"/><Relationship Id="rId24" Type="http://schemas.openxmlformats.org/officeDocument/2006/relationships/table" Target="../tables/table42.xml"/><Relationship Id="rId5" Type="http://schemas.openxmlformats.org/officeDocument/2006/relationships/table" Target="../tables/table23.xml"/><Relationship Id="rId15" Type="http://schemas.openxmlformats.org/officeDocument/2006/relationships/table" Target="../tables/table33.xml"/><Relationship Id="rId23" Type="http://schemas.openxmlformats.org/officeDocument/2006/relationships/table" Target="../tables/table41.xml"/><Relationship Id="rId28" Type="http://schemas.openxmlformats.org/officeDocument/2006/relationships/table" Target="../tables/table46.xml"/><Relationship Id="rId10" Type="http://schemas.openxmlformats.org/officeDocument/2006/relationships/table" Target="../tables/table28.xml"/><Relationship Id="rId19" Type="http://schemas.openxmlformats.org/officeDocument/2006/relationships/table" Target="../tables/table37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Relationship Id="rId14" Type="http://schemas.openxmlformats.org/officeDocument/2006/relationships/table" Target="../tables/table32.xml"/><Relationship Id="rId22" Type="http://schemas.openxmlformats.org/officeDocument/2006/relationships/table" Target="../tables/table40.xml"/><Relationship Id="rId27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E998-7DC9-4455-AFBF-0CF191892191}">
  <dimension ref="A1:W49"/>
  <sheetViews>
    <sheetView workbookViewId="0">
      <selection sqref="A1:W49"/>
    </sheetView>
  </sheetViews>
  <sheetFormatPr baseColWidth="10" defaultRowHeight="14.4" x14ac:dyDescent="0.3"/>
  <sheetData>
    <row r="1" spans="1:23" x14ac:dyDescent="0.3">
      <c r="A1" s="2"/>
      <c r="H1" s="2"/>
      <c r="L1" s="29"/>
      <c r="M1" s="2"/>
      <c r="V1" s="2"/>
      <c r="W1" s="30"/>
    </row>
    <row r="2" spans="1:23" x14ac:dyDescent="0.3">
      <c r="A2" s="2"/>
      <c r="H2" s="2"/>
      <c r="L2" s="29"/>
      <c r="M2" s="2"/>
      <c r="V2" s="2"/>
      <c r="W2" s="30"/>
    </row>
    <row r="3" spans="1:23" ht="15.6" x14ac:dyDescent="0.3">
      <c r="A3" s="2"/>
      <c r="H3" s="2"/>
      <c r="I3" s="31" t="s">
        <v>64</v>
      </c>
      <c r="L3" s="29"/>
      <c r="M3" s="2"/>
      <c r="V3" s="2"/>
      <c r="W3" s="30"/>
    </row>
    <row r="4" spans="1:23" ht="15.6" x14ac:dyDescent="0.3">
      <c r="A4" s="2"/>
      <c r="H4" s="2"/>
      <c r="L4" s="29"/>
      <c r="M4" s="2"/>
      <c r="N4" s="31" t="s">
        <v>65</v>
      </c>
      <c r="V4" s="2"/>
      <c r="W4" s="30"/>
    </row>
    <row r="5" spans="1:23" ht="18" x14ac:dyDescent="0.35">
      <c r="A5" s="2"/>
      <c r="B5" s="11" t="s">
        <v>66</v>
      </c>
      <c r="H5" s="2"/>
      <c r="L5" s="29"/>
      <c r="M5" s="2"/>
      <c r="V5" s="2"/>
      <c r="W5" s="30"/>
    </row>
    <row r="6" spans="1:23" x14ac:dyDescent="0.3">
      <c r="A6" s="2"/>
      <c r="B6" s="32" t="s">
        <v>67</v>
      </c>
      <c r="C6" s="33" t="s">
        <v>68</v>
      </c>
      <c r="D6" s="33" t="s">
        <v>69</v>
      </c>
      <c r="E6" s="33" t="s">
        <v>70</v>
      </c>
      <c r="F6" s="33" t="s">
        <v>71</v>
      </c>
      <c r="G6" s="34" t="s">
        <v>72</v>
      </c>
      <c r="H6" s="2"/>
      <c r="L6" s="29"/>
      <c r="M6" s="2"/>
      <c r="V6" s="2"/>
      <c r="W6" s="30"/>
    </row>
    <row r="7" spans="1:23" x14ac:dyDescent="0.3">
      <c r="A7" s="2"/>
      <c r="B7" s="35" t="s">
        <v>73</v>
      </c>
      <c r="C7" s="35" t="s">
        <v>74</v>
      </c>
      <c r="D7" s="12">
        <f>K16</f>
        <v>4738596.8640000001</v>
      </c>
      <c r="E7" s="36">
        <f>K17</f>
        <v>13000000</v>
      </c>
      <c r="F7">
        <f>D7/E7</f>
        <v>0.36450745107692306</v>
      </c>
      <c r="G7" s="35" t="s">
        <v>75</v>
      </c>
      <c r="H7" s="2"/>
      <c r="J7" s="35" t="s">
        <v>76</v>
      </c>
      <c r="K7" s="35" t="s">
        <v>69</v>
      </c>
      <c r="L7" s="29"/>
      <c r="M7" s="2"/>
      <c r="V7" s="2"/>
      <c r="W7" s="30"/>
    </row>
    <row r="8" spans="1:23" x14ac:dyDescent="0.3">
      <c r="A8" s="2"/>
      <c r="B8" s="35" t="s">
        <v>77</v>
      </c>
      <c r="C8" s="35" t="s">
        <v>74</v>
      </c>
      <c r="D8" s="12">
        <f>P18</f>
        <v>3873278.6240000003</v>
      </c>
      <c r="E8" s="12">
        <v>10555261</v>
      </c>
      <c r="F8">
        <f>D8/E8</f>
        <v>0.36695242533557437</v>
      </c>
      <c r="G8" s="35" t="s">
        <v>75</v>
      </c>
      <c r="H8" s="2"/>
      <c r="J8" s="35" t="s">
        <v>78</v>
      </c>
      <c r="K8" s="37">
        <f>'[1]Parc Global 2023-2024'!AC68</f>
        <v>4387963.3836714001</v>
      </c>
      <c r="L8" s="29"/>
      <c r="M8" s="2"/>
      <c r="O8" s="35" t="s">
        <v>76</v>
      </c>
      <c r="P8" s="35" t="s">
        <v>69</v>
      </c>
      <c r="V8" s="2"/>
      <c r="W8" s="30"/>
    </row>
    <row r="9" spans="1:23" ht="18" x14ac:dyDescent="0.35">
      <c r="A9" s="2"/>
      <c r="B9" s="11" t="s">
        <v>79</v>
      </c>
      <c r="H9" s="2"/>
      <c r="J9" s="35" t="s">
        <v>80</v>
      </c>
      <c r="K9" s="12">
        <f>'[1]Parc Global 2023-2024'!AC64</f>
        <v>220321.6283286</v>
      </c>
      <c r="L9" s="29"/>
      <c r="M9" s="2"/>
      <c r="O9" s="35" t="s">
        <v>81</v>
      </c>
      <c r="P9">
        <v>3745969.31</v>
      </c>
      <c r="V9" s="2"/>
      <c r="W9" s="30"/>
    </row>
    <row r="10" spans="1:23" x14ac:dyDescent="0.3">
      <c r="A10" s="2"/>
      <c r="C10" s="35"/>
      <c r="H10" s="2"/>
      <c r="J10" s="35" t="s">
        <v>82</v>
      </c>
      <c r="K10" s="12">
        <v>4516.2520000000004</v>
      </c>
      <c r="L10" s="29"/>
      <c r="M10" s="2"/>
      <c r="O10" s="35" t="s">
        <v>83</v>
      </c>
      <c r="P10" s="12">
        <v>1513.7139999999999</v>
      </c>
      <c r="V10" s="2"/>
      <c r="W10" s="30"/>
    </row>
    <row r="11" spans="1:23" x14ac:dyDescent="0.3">
      <c r="A11" s="2"/>
      <c r="B11" s="35" t="s">
        <v>67</v>
      </c>
      <c r="C11" s="35" t="s">
        <v>68</v>
      </c>
      <c r="D11" s="35" t="s">
        <v>69</v>
      </c>
      <c r="E11" s="35" t="s">
        <v>70</v>
      </c>
      <c r="F11" s="35" t="s">
        <v>71</v>
      </c>
      <c r="G11" s="35" t="s">
        <v>72</v>
      </c>
      <c r="H11" s="2"/>
      <c r="J11" s="35" t="s">
        <v>84</v>
      </c>
      <c r="K11" s="12">
        <f>40016.61+1833.65+24009.96</f>
        <v>65860.22</v>
      </c>
      <c r="L11" s="29"/>
      <c r="M11" s="2"/>
      <c r="O11" s="35" t="s">
        <v>85</v>
      </c>
      <c r="P11" s="12">
        <f>40016.61+1833.65+24009.96</f>
        <v>65860.22</v>
      </c>
      <c r="V11" s="2"/>
      <c r="W11" s="30"/>
    </row>
    <row r="12" spans="1:23" x14ac:dyDescent="0.3">
      <c r="A12" s="2"/>
      <c r="B12" s="35" t="s">
        <v>86</v>
      </c>
      <c r="C12" s="35" t="s">
        <v>74</v>
      </c>
      <c r="D12" s="36">
        <v>5053000</v>
      </c>
      <c r="E12" s="36">
        <f>2646900+9040500</f>
        <v>11687400</v>
      </c>
      <c r="F12">
        <f>D12/E12</f>
        <v>0.43234594520594827</v>
      </c>
      <c r="G12" s="35" t="s">
        <v>87</v>
      </c>
      <c r="H12" s="2"/>
      <c r="J12" s="35" t="s">
        <v>88</v>
      </c>
      <c r="K12" s="12">
        <v>59935.38</v>
      </c>
      <c r="L12" s="29"/>
      <c r="M12" s="2"/>
      <c r="O12" s="35" t="s">
        <v>88</v>
      </c>
      <c r="P12">
        <v>59935.38</v>
      </c>
      <c r="V12" s="2"/>
      <c r="W12" s="30"/>
    </row>
    <row r="13" spans="1:23" x14ac:dyDescent="0.3">
      <c r="A13" s="2"/>
      <c r="B13" s="35" t="s">
        <v>89</v>
      </c>
      <c r="C13" s="35" t="s">
        <v>90</v>
      </c>
      <c r="D13" s="36">
        <v>6288000</v>
      </c>
      <c r="E13" s="36">
        <v>12750000</v>
      </c>
      <c r="F13">
        <f t="shared" ref="F13:F14" si="0">D13/E13</f>
        <v>0.49317647058823527</v>
      </c>
      <c r="G13" s="35" t="s">
        <v>91</v>
      </c>
      <c r="H13" s="2"/>
      <c r="L13" s="29"/>
      <c r="M13" s="2"/>
      <c r="O13" s="35"/>
      <c r="V13" s="2"/>
      <c r="W13" s="30"/>
    </row>
    <row r="14" spans="1:23" x14ac:dyDescent="0.3">
      <c r="A14" s="2"/>
      <c r="B14" s="35" t="s">
        <v>92</v>
      </c>
      <c r="C14" s="35" t="s">
        <v>93</v>
      </c>
      <c r="D14" s="36">
        <v>5081000</v>
      </c>
      <c r="E14" s="36">
        <v>14342800</v>
      </c>
      <c r="F14">
        <f t="shared" si="0"/>
        <v>0.35425439941991799</v>
      </c>
      <c r="G14" s="35" t="s">
        <v>94</v>
      </c>
      <c r="H14" s="2"/>
      <c r="L14" s="29"/>
      <c r="M14" s="2"/>
      <c r="O14" s="35"/>
      <c r="V14" s="2"/>
      <c r="W14" s="30"/>
    </row>
    <row r="15" spans="1:23" x14ac:dyDescent="0.3">
      <c r="A15" s="2"/>
      <c r="D15" s="36"/>
      <c r="E15" s="36"/>
      <c r="H15" s="2"/>
      <c r="L15" s="29"/>
      <c r="M15" s="2"/>
      <c r="O15" s="35"/>
      <c r="V15" s="2"/>
      <c r="W15" s="30"/>
    </row>
    <row r="16" spans="1:23" x14ac:dyDescent="0.3">
      <c r="A16" s="2"/>
      <c r="D16" s="36"/>
      <c r="E16" s="36"/>
      <c r="H16" s="2"/>
      <c r="J16" s="38" t="s">
        <v>4</v>
      </c>
      <c r="K16" s="39">
        <f>SUM(K8:K15)</f>
        <v>4738596.8640000001</v>
      </c>
      <c r="L16" s="29"/>
      <c r="M16" s="2"/>
      <c r="O16" s="35"/>
      <c r="V16" s="2"/>
      <c r="W16" s="30"/>
    </row>
    <row r="17" spans="1:23" ht="16.2" thickBot="1" x14ac:dyDescent="0.35">
      <c r="A17" s="2"/>
      <c r="D17" s="36"/>
      <c r="H17" s="2"/>
      <c r="J17" s="40" t="s">
        <v>95</v>
      </c>
      <c r="K17" s="41">
        <v>13000000</v>
      </c>
      <c r="L17" s="29"/>
      <c r="M17" s="2"/>
      <c r="V17" s="2"/>
      <c r="W17" s="30"/>
    </row>
    <row r="18" spans="1:23" ht="15" thickTop="1" x14ac:dyDescent="0.3">
      <c r="A18" s="2"/>
      <c r="H18" s="2"/>
      <c r="L18" s="29"/>
      <c r="M18" s="2"/>
      <c r="O18" s="19" t="s">
        <v>4</v>
      </c>
      <c r="P18" s="19">
        <f>SUM(P9:P17)</f>
        <v>3873278.6240000003</v>
      </c>
      <c r="V18" s="2"/>
      <c r="W18" s="30"/>
    </row>
    <row r="19" spans="1:23" ht="16.2" thickBot="1" x14ac:dyDescent="0.35">
      <c r="A19" s="2"/>
      <c r="H19" s="2"/>
      <c r="L19" s="29"/>
      <c r="M19" s="2"/>
      <c r="O19" s="40" t="s">
        <v>96</v>
      </c>
      <c r="P19" s="41">
        <v>10555261</v>
      </c>
      <c r="V19" s="2"/>
      <c r="W19" s="30"/>
    </row>
    <row r="20" spans="1:23" ht="15" thickTop="1" x14ac:dyDescent="0.3">
      <c r="A20" s="2"/>
      <c r="H20" s="2"/>
      <c r="L20" s="29"/>
      <c r="M20" s="2"/>
      <c r="V20" s="2"/>
      <c r="W20" s="30"/>
    </row>
    <row r="21" spans="1:23" x14ac:dyDescent="0.3">
      <c r="A21" s="2"/>
      <c r="H21" s="2"/>
      <c r="L21" s="29"/>
      <c r="M21" s="2"/>
      <c r="V21" s="2"/>
      <c r="W21" s="30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0"/>
    </row>
    <row r="23" spans="1:23" x14ac:dyDescent="0.3">
      <c r="A23" s="30"/>
      <c r="B23" s="30"/>
      <c r="C23" s="30"/>
      <c r="D23" s="30"/>
      <c r="E23" s="30"/>
      <c r="F23" s="30"/>
      <c r="G23" s="30"/>
      <c r="H23" s="2"/>
      <c r="I23" s="29"/>
      <c r="J23" s="25"/>
      <c r="L23" s="29"/>
      <c r="M23" s="2"/>
      <c r="Q23" s="2"/>
      <c r="R23" s="30"/>
      <c r="S23" s="30"/>
      <c r="T23" s="30"/>
      <c r="U23" s="30"/>
      <c r="V23" s="30"/>
      <c r="W23" s="30"/>
    </row>
    <row r="24" spans="1:23" x14ac:dyDescent="0.3">
      <c r="A24" s="30"/>
      <c r="B24" s="30"/>
      <c r="C24" s="30"/>
      <c r="D24" s="30"/>
      <c r="E24" s="30"/>
      <c r="F24" s="30"/>
      <c r="G24" s="30"/>
      <c r="H24" s="2"/>
      <c r="I24" s="29"/>
      <c r="J24" s="25"/>
      <c r="K24" s="29"/>
      <c r="L24" s="29"/>
      <c r="M24" s="2"/>
      <c r="N24" s="29"/>
      <c r="O24" s="29"/>
      <c r="P24" s="29"/>
      <c r="Q24" s="2"/>
      <c r="R24" s="30"/>
      <c r="S24" s="30"/>
      <c r="T24" s="30"/>
      <c r="U24" s="30"/>
      <c r="V24" s="30"/>
      <c r="W24" s="30"/>
    </row>
    <row r="25" spans="1:23" x14ac:dyDescent="0.3">
      <c r="A25" s="30"/>
      <c r="B25" s="30"/>
      <c r="C25" s="30"/>
      <c r="D25" s="30"/>
      <c r="E25" s="30"/>
      <c r="F25" s="30"/>
      <c r="G25" s="30"/>
      <c r="H25" s="2"/>
      <c r="I25" s="29"/>
      <c r="L25" s="29"/>
      <c r="M25" s="2"/>
      <c r="Q25" s="2"/>
      <c r="R25" s="30"/>
      <c r="S25" s="30"/>
      <c r="T25" s="30"/>
      <c r="U25" s="30"/>
      <c r="V25" s="30"/>
      <c r="W25" s="30"/>
    </row>
    <row r="26" spans="1:23" x14ac:dyDescent="0.3">
      <c r="A26" s="30"/>
      <c r="B26" s="30"/>
      <c r="C26" s="30"/>
      <c r="D26" s="30"/>
      <c r="E26" s="30"/>
      <c r="F26" s="30"/>
      <c r="G26" s="30"/>
      <c r="H26" s="2"/>
      <c r="I26" s="25"/>
      <c r="J26" s="25"/>
      <c r="K26" s="25"/>
      <c r="L26" s="29"/>
      <c r="M26" s="2"/>
      <c r="Q26" s="2"/>
      <c r="R26" s="30"/>
      <c r="S26" s="30"/>
      <c r="T26" s="30"/>
      <c r="U26" s="30"/>
      <c r="V26" s="30"/>
      <c r="W26" s="30"/>
    </row>
    <row r="27" spans="1:23" x14ac:dyDescent="0.3">
      <c r="A27" s="30"/>
      <c r="B27" s="30"/>
      <c r="C27" s="30"/>
      <c r="D27" s="30"/>
      <c r="E27" s="30"/>
      <c r="F27" s="30"/>
      <c r="G27" s="30"/>
      <c r="H27" s="2"/>
      <c r="I27" s="25"/>
      <c r="J27" s="25"/>
      <c r="K27" s="25"/>
      <c r="L27" s="29"/>
      <c r="M27" s="2"/>
      <c r="Q27" s="2"/>
      <c r="R27" s="30"/>
      <c r="S27" s="30"/>
      <c r="T27" s="30"/>
      <c r="U27" s="30"/>
      <c r="V27" s="30"/>
      <c r="W27" s="30"/>
    </row>
    <row r="28" spans="1:23" ht="15.6" x14ac:dyDescent="0.3">
      <c r="A28" s="30"/>
      <c r="B28" s="30"/>
      <c r="C28" s="30"/>
      <c r="D28" s="30"/>
      <c r="E28" s="30"/>
      <c r="F28" s="30"/>
      <c r="G28" s="42"/>
      <c r="H28" s="28"/>
      <c r="I28" s="25"/>
      <c r="J28" s="25"/>
      <c r="K28" s="25"/>
      <c r="L28" s="29"/>
      <c r="M28" s="2"/>
      <c r="N28" s="31" t="s">
        <v>97</v>
      </c>
      <c r="Q28" s="2"/>
      <c r="R28" s="30"/>
      <c r="S28" s="30"/>
      <c r="T28" s="30"/>
      <c r="U28" s="30"/>
      <c r="V28" s="30"/>
      <c r="W28" s="30"/>
    </row>
    <row r="29" spans="1:23" x14ac:dyDescent="0.3">
      <c r="A29" s="30"/>
      <c r="B29" s="30"/>
      <c r="C29" s="30"/>
      <c r="D29" s="30"/>
      <c r="E29" s="30"/>
      <c r="F29" s="30"/>
      <c r="G29" s="30"/>
      <c r="H29" s="2"/>
      <c r="I29" s="25"/>
      <c r="J29" s="25"/>
      <c r="K29" s="25"/>
      <c r="L29" s="29"/>
      <c r="M29" s="2"/>
      <c r="Q29" s="2"/>
      <c r="R29" s="30"/>
      <c r="S29" s="30"/>
      <c r="T29" s="30"/>
      <c r="U29" s="30"/>
      <c r="V29" s="30"/>
      <c r="W29" s="30"/>
    </row>
    <row r="30" spans="1:23" x14ac:dyDescent="0.3">
      <c r="A30" s="30"/>
      <c r="B30" s="30"/>
      <c r="C30" s="30"/>
      <c r="D30" s="30"/>
      <c r="E30" s="30"/>
      <c r="F30" s="30"/>
      <c r="G30" s="30"/>
      <c r="H30" s="2"/>
      <c r="I30" s="25"/>
      <c r="J30" s="25"/>
      <c r="K30" s="25"/>
      <c r="L30" s="29"/>
      <c r="M30" s="2"/>
      <c r="Q30" s="2"/>
      <c r="R30" s="30"/>
      <c r="S30" s="30"/>
      <c r="T30" s="30"/>
      <c r="U30" s="30"/>
      <c r="V30" s="30"/>
      <c r="W30" s="30"/>
    </row>
    <row r="31" spans="1:23" x14ac:dyDescent="0.3">
      <c r="A31" s="30"/>
      <c r="B31" s="30"/>
      <c r="C31" s="30"/>
      <c r="D31" s="30"/>
      <c r="E31" s="30"/>
      <c r="F31" s="30"/>
      <c r="G31" s="30"/>
      <c r="H31" s="2"/>
      <c r="I31" s="25"/>
      <c r="J31" s="25"/>
      <c r="K31" s="25"/>
      <c r="L31" s="29"/>
      <c r="M31" s="2"/>
      <c r="Q31" s="2"/>
      <c r="R31" s="30"/>
      <c r="S31" s="30"/>
      <c r="T31" s="30"/>
      <c r="U31" s="30"/>
      <c r="V31" s="30"/>
      <c r="W31" s="30"/>
    </row>
    <row r="32" spans="1:23" x14ac:dyDescent="0.3">
      <c r="A32" s="30"/>
      <c r="B32" s="30"/>
      <c r="C32" s="30"/>
      <c r="D32" s="30"/>
      <c r="E32" s="30"/>
      <c r="F32" s="30"/>
      <c r="G32" s="30"/>
      <c r="H32" s="2"/>
      <c r="I32" s="25"/>
      <c r="J32" s="25"/>
      <c r="K32" s="25"/>
      <c r="L32" s="29"/>
      <c r="M32" s="2"/>
      <c r="N32" s="35" t="s">
        <v>76</v>
      </c>
      <c r="O32" s="35" t="s">
        <v>98</v>
      </c>
      <c r="Q32" s="2"/>
      <c r="R32" s="30"/>
      <c r="S32" s="30"/>
      <c r="T32" s="30"/>
      <c r="U32" s="30"/>
      <c r="V32" s="30"/>
      <c r="W32" s="30"/>
    </row>
    <row r="33" spans="1:23" x14ac:dyDescent="0.3">
      <c r="A33" s="30"/>
      <c r="B33" s="30"/>
      <c r="C33" s="30"/>
      <c r="D33" s="30"/>
      <c r="E33" s="30"/>
      <c r="F33" s="30"/>
      <c r="G33" s="30"/>
      <c r="H33" s="2"/>
      <c r="I33" s="25"/>
      <c r="J33" s="25"/>
      <c r="K33" s="25"/>
      <c r="L33" s="29"/>
      <c r="M33" s="2"/>
      <c r="N33" s="35" t="s">
        <v>99</v>
      </c>
      <c r="O33">
        <v>5675239.67871032</v>
      </c>
      <c r="Q33" s="2"/>
      <c r="R33" s="30"/>
      <c r="S33" s="30"/>
      <c r="T33" s="30"/>
      <c r="U33" s="30"/>
      <c r="V33" s="30"/>
      <c r="W33" s="30"/>
    </row>
    <row r="34" spans="1:23" x14ac:dyDescent="0.3">
      <c r="A34" s="30"/>
      <c r="B34" s="30"/>
      <c r="C34" s="30"/>
      <c r="D34" s="30"/>
      <c r="E34" s="30"/>
      <c r="F34" s="30"/>
      <c r="G34" s="30"/>
      <c r="H34" s="2"/>
      <c r="I34" s="25"/>
      <c r="J34" s="25"/>
      <c r="K34" s="25"/>
      <c r="L34" s="29"/>
      <c r="M34" s="2"/>
      <c r="N34" s="35"/>
      <c r="Q34" s="2"/>
      <c r="R34" s="30"/>
      <c r="S34" s="30"/>
      <c r="T34" s="30"/>
      <c r="U34" s="30"/>
      <c r="V34" s="30"/>
      <c r="W34" s="30"/>
    </row>
    <row r="35" spans="1:23" x14ac:dyDescent="0.3">
      <c r="A35" s="30"/>
      <c r="B35" s="30"/>
      <c r="C35" s="30"/>
      <c r="D35" s="30"/>
      <c r="E35" s="30"/>
      <c r="F35" s="30"/>
      <c r="G35" s="30"/>
      <c r="H35" s="2"/>
      <c r="I35" s="25"/>
      <c r="J35" s="25"/>
      <c r="K35" s="25"/>
      <c r="L35" s="29"/>
      <c r="M35" s="2"/>
      <c r="Q35" s="2"/>
      <c r="R35" s="30"/>
      <c r="S35" s="30"/>
      <c r="T35" s="30"/>
      <c r="U35" s="30"/>
      <c r="V35" s="30"/>
      <c r="W35" s="30"/>
    </row>
    <row r="36" spans="1:23" ht="18" x14ac:dyDescent="0.35">
      <c r="A36" s="30"/>
      <c r="B36" s="30"/>
      <c r="C36" s="30"/>
      <c r="D36" s="30"/>
      <c r="E36" s="30"/>
      <c r="F36" s="30"/>
      <c r="G36" s="30"/>
      <c r="H36" s="2"/>
      <c r="I36" s="25"/>
      <c r="J36" s="25"/>
      <c r="K36" s="25"/>
      <c r="L36" s="29"/>
      <c r="M36" s="2"/>
      <c r="N36" s="43" t="s">
        <v>100</v>
      </c>
      <c r="O36" s="44">
        <f>K16/O33</f>
        <v>0.83495977831139478</v>
      </c>
      <c r="Q36" s="2"/>
      <c r="R36" s="30"/>
      <c r="S36" s="30"/>
      <c r="T36" s="30"/>
      <c r="U36" s="30"/>
      <c r="V36" s="30"/>
      <c r="W36" s="30"/>
    </row>
    <row r="37" spans="1:23" x14ac:dyDescent="0.3">
      <c r="A37" s="30"/>
      <c r="B37" s="30"/>
      <c r="C37" s="30"/>
      <c r="D37" s="30"/>
      <c r="E37" s="30"/>
      <c r="F37" s="30"/>
      <c r="G37" s="30"/>
      <c r="H37" s="2"/>
      <c r="I37" s="25"/>
      <c r="J37" s="25"/>
      <c r="K37" s="25"/>
      <c r="L37" s="29"/>
      <c r="M37" s="2"/>
      <c r="Q37" s="2"/>
      <c r="R37" s="30"/>
      <c r="S37" s="30"/>
      <c r="T37" s="30"/>
      <c r="U37" s="30"/>
      <c r="V37" s="30"/>
      <c r="W37" s="30"/>
    </row>
    <row r="38" spans="1:23" x14ac:dyDescent="0.3">
      <c r="A38" s="30"/>
      <c r="B38" s="30"/>
      <c r="C38" s="30"/>
      <c r="D38" s="30"/>
      <c r="E38" s="30"/>
      <c r="F38" s="30"/>
      <c r="G38" s="30"/>
      <c r="H38" s="2"/>
      <c r="I38" s="25"/>
      <c r="J38" s="25"/>
      <c r="K38" s="25"/>
      <c r="L38" s="29"/>
      <c r="M38" s="2"/>
      <c r="Q38" s="2"/>
      <c r="R38" s="30"/>
      <c r="S38" s="30"/>
      <c r="T38" s="30"/>
      <c r="U38" s="30"/>
      <c r="V38" s="30"/>
      <c r="W38" s="30"/>
    </row>
    <row r="39" spans="1:23" x14ac:dyDescent="0.3">
      <c r="A39" s="30"/>
      <c r="B39" s="30"/>
      <c r="C39" s="30"/>
      <c r="D39" s="30"/>
      <c r="E39" s="30"/>
      <c r="F39" s="30"/>
      <c r="G39" s="30"/>
      <c r="H39" s="2"/>
      <c r="I39" s="25"/>
      <c r="J39" s="25"/>
      <c r="K39" s="25"/>
      <c r="L39" s="29"/>
      <c r="M39" s="2"/>
      <c r="Q39" s="2"/>
      <c r="R39" s="30"/>
      <c r="S39" s="30"/>
      <c r="T39" s="30"/>
      <c r="U39" s="30"/>
      <c r="V39" s="30"/>
      <c r="W39" s="30"/>
    </row>
    <row r="40" spans="1:23" x14ac:dyDescent="0.3">
      <c r="A40" s="30"/>
      <c r="B40" s="30"/>
      <c r="C40" s="30"/>
      <c r="D40" s="30"/>
      <c r="E40" s="30"/>
      <c r="F40" s="30"/>
      <c r="G40" s="30"/>
      <c r="H40" s="2"/>
      <c r="I40" s="25"/>
      <c r="J40" s="25"/>
      <c r="K40" s="25"/>
      <c r="L40" s="29"/>
      <c r="M40" s="2"/>
      <c r="Q40" s="2"/>
      <c r="R40" s="30"/>
      <c r="S40" s="30"/>
      <c r="T40" s="30"/>
      <c r="U40" s="30"/>
      <c r="V40" s="30"/>
      <c r="W40" s="30"/>
    </row>
    <row r="41" spans="1:23" x14ac:dyDescent="0.3">
      <c r="A41" s="30"/>
      <c r="B41" s="30"/>
      <c r="C41" s="30"/>
      <c r="D41" s="30"/>
      <c r="E41" s="30"/>
      <c r="F41" s="30"/>
      <c r="G41" s="30"/>
      <c r="H41" s="2"/>
      <c r="I41" s="25"/>
      <c r="J41" s="25"/>
      <c r="K41" s="25"/>
      <c r="L41" s="29"/>
      <c r="M41" s="2"/>
      <c r="Q41" s="2"/>
      <c r="R41" s="30"/>
      <c r="S41" s="30"/>
      <c r="T41" s="30"/>
      <c r="U41" s="30"/>
      <c r="V41" s="30"/>
      <c r="W41" s="30"/>
    </row>
    <row r="42" spans="1:23" x14ac:dyDescent="0.3">
      <c r="A42" s="30"/>
      <c r="B42" s="30"/>
      <c r="C42" s="30"/>
      <c r="D42" s="30"/>
      <c r="E42" s="30"/>
      <c r="F42" s="30"/>
      <c r="G42" s="30"/>
      <c r="H42" s="2"/>
      <c r="I42" s="25"/>
      <c r="J42" s="25"/>
      <c r="K42" s="25"/>
      <c r="L42" s="29"/>
      <c r="M42" s="2"/>
      <c r="Q42" s="2"/>
      <c r="R42" s="30"/>
      <c r="S42" s="30"/>
      <c r="T42" s="30"/>
      <c r="U42" s="30"/>
      <c r="V42" s="30"/>
      <c r="W42" s="30"/>
    </row>
    <row r="43" spans="1:23" x14ac:dyDescent="0.3">
      <c r="A43" s="30"/>
      <c r="B43" s="30"/>
      <c r="C43" s="30"/>
      <c r="D43" s="30"/>
      <c r="E43" s="30"/>
      <c r="F43" s="30"/>
      <c r="G43" s="30"/>
      <c r="H43" s="2"/>
      <c r="I43" s="25"/>
      <c r="J43" s="25"/>
      <c r="K43" s="25"/>
      <c r="L43" s="29"/>
      <c r="M43" s="2"/>
      <c r="Q43" s="2"/>
      <c r="R43" s="30"/>
      <c r="S43" s="30"/>
      <c r="T43" s="30"/>
      <c r="U43" s="30"/>
      <c r="V43" s="30"/>
      <c r="W43" s="30"/>
    </row>
    <row r="44" spans="1:23" x14ac:dyDescent="0.3">
      <c r="A44" s="30"/>
      <c r="B44" s="30"/>
      <c r="C44" s="30"/>
      <c r="D44" s="30"/>
      <c r="E44" s="30"/>
      <c r="F44" s="30"/>
      <c r="G44" s="30"/>
      <c r="H44" s="2"/>
      <c r="I44" s="25"/>
      <c r="J44" s="25"/>
      <c r="K44" s="25"/>
      <c r="L44" s="29"/>
      <c r="M44" s="2"/>
      <c r="Q44" s="2"/>
      <c r="R44" s="30"/>
      <c r="S44" s="30"/>
      <c r="T44" s="30"/>
      <c r="U44" s="30"/>
      <c r="V44" s="30"/>
      <c r="W44" s="30"/>
    </row>
    <row r="45" spans="1:23" x14ac:dyDescent="0.3">
      <c r="A45" s="30"/>
      <c r="B45" s="30"/>
      <c r="C45" s="30"/>
      <c r="D45" s="30"/>
      <c r="E45" s="30"/>
      <c r="F45" s="30"/>
      <c r="G45" s="30"/>
      <c r="H45" s="2"/>
      <c r="I45" s="25"/>
      <c r="J45" s="25"/>
      <c r="K45" s="25"/>
      <c r="L45" s="29"/>
      <c r="M45" s="2"/>
      <c r="Q45" s="2"/>
      <c r="R45" s="30"/>
      <c r="S45" s="30"/>
      <c r="T45" s="30"/>
      <c r="U45" s="30"/>
      <c r="V45" s="30"/>
      <c r="W45" s="30"/>
    </row>
    <row r="46" spans="1:23" x14ac:dyDescent="0.3">
      <c r="A46" s="30"/>
      <c r="B46" s="30"/>
      <c r="C46" s="30"/>
      <c r="D46" s="30"/>
      <c r="E46" s="30"/>
      <c r="F46" s="30"/>
      <c r="G46" s="30"/>
      <c r="H46" s="2"/>
      <c r="I46" s="25"/>
      <c r="J46" s="25"/>
      <c r="K46" s="25"/>
      <c r="L46" s="29"/>
      <c r="M46" s="2"/>
      <c r="Q46" s="2"/>
      <c r="R46" s="30"/>
      <c r="S46" s="30"/>
      <c r="T46" s="30"/>
      <c r="U46" s="30"/>
      <c r="V46" s="30"/>
      <c r="W46" s="30"/>
    </row>
    <row r="47" spans="1:23" x14ac:dyDescent="0.3">
      <c r="A47" s="30"/>
      <c r="B47" s="30"/>
      <c r="C47" s="30"/>
      <c r="D47" s="30"/>
      <c r="E47" s="30"/>
      <c r="F47" s="30"/>
      <c r="G47" s="30"/>
      <c r="H47" s="2"/>
      <c r="I47" s="25"/>
      <c r="J47" s="25"/>
      <c r="K47" s="25"/>
      <c r="L47" s="29"/>
      <c r="M47" s="2"/>
      <c r="Q47" s="2"/>
      <c r="R47" s="30"/>
      <c r="S47" s="30"/>
      <c r="T47" s="30"/>
      <c r="U47" s="30"/>
      <c r="V47" s="30"/>
      <c r="W47" s="30"/>
    </row>
    <row r="48" spans="1:23" x14ac:dyDescent="0.3">
      <c r="A48" s="30"/>
      <c r="B48" s="30"/>
      <c r="C48" s="30"/>
      <c r="D48" s="30"/>
      <c r="E48" s="30"/>
      <c r="F48" s="30"/>
      <c r="G48" s="30"/>
      <c r="H48" s="2"/>
      <c r="I48" s="2"/>
      <c r="J48" s="28"/>
      <c r="K48" s="2"/>
      <c r="L48" s="2"/>
      <c r="M48" s="2"/>
      <c r="N48" s="2"/>
      <c r="O48" s="2"/>
      <c r="P48" s="2"/>
      <c r="Q48" s="2"/>
      <c r="R48" s="30"/>
      <c r="S48" s="30"/>
      <c r="T48" s="30"/>
      <c r="U48" s="30"/>
      <c r="V48" s="30"/>
      <c r="W48" s="30"/>
    </row>
    <row r="49" spans="1:23" x14ac:dyDescent="0.3">
      <c r="A49" s="30"/>
      <c r="B49" s="30"/>
      <c r="C49" s="30"/>
      <c r="D49" s="30"/>
      <c r="E49" s="30"/>
      <c r="F49" s="30"/>
      <c r="G49" s="30"/>
      <c r="H49" s="30"/>
      <c r="I49" s="30"/>
      <c r="J49" s="42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53C8-B142-4666-A0C7-C5E20F54529F}">
  <dimension ref="A1:AS75"/>
  <sheetViews>
    <sheetView zoomScale="27" workbookViewId="0">
      <selection sqref="A1:AS75"/>
    </sheetView>
  </sheetViews>
  <sheetFormatPr baseColWidth="10" defaultRowHeight="14.4" x14ac:dyDescent="0.3"/>
  <sheetData>
    <row r="1" spans="1:44" ht="15.6" x14ac:dyDescent="0.3">
      <c r="A1" s="1" t="s">
        <v>0</v>
      </c>
      <c r="D1" t="s">
        <v>1</v>
      </c>
      <c r="H1" t="s">
        <v>2</v>
      </c>
      <c r="J1" t="s">
        <v>3</v>
      </c>
      <c r="L1" t="s">
        <v>4</v>
      </c>
      <c r="N1" t="s">
        <v>5</v>
      </c>
      <c r="Y1" s="2"/>
      <c r="AF1" s="2"/>
      <c r="AM1" s="2"/>
    </row>
    <row r="2" spans="1:44" x14ac:dyDescent="0.3">
      <c r="D2" s="3" t="s">
        <v>6</v>
      </c>
      <c r="E2" s="3" t="s">
        <v>7</v>
      </c>
      <c r="F2" s="3" t="s">
        <v>8</v>
      </c>
      <c r="H2" s="3" t="s">
        <v>9</v>
      </c>
      <c r="J2" s="3" t="s">
        <v>9</v>
      </c>
      <c r="L2" s="3" t="s">
        <v>10</v>
      </c>
      <c r="N2" s="3" t="s">
        <v>11</v>
      </c>
      <c r="O2" s="3" t="s">
        <v>12</v>
      </c>
      <c r="P2" s="3" t="s">
        <v>13</v>
      </c>
      <c r="Q2" s="3" t="s">
        <v>10</v>
      </c>
      <c r="Y2" s="2"/>
      <c r="AF2" s="2"/>
      <c r="AM2" s="2"/>
    </row>
    <row r="3" spans="1:44" ht="18" x14ac:dyDescent="0.35">
      <c r="B3" s="4" t="s">
        <v>14</v>
      </c>
      <c r="D3" s="4">
        <v>4217.53</v>
      </c>
      <c r="E3" s="4">
        <v>5310.44</v>
      </c>
      <c r="F3" s="4">
        <v>1546.57</v>
      </c>
      <c r="H3" s="4">
        <v>1921.18</v>
      </c>
      <c r="J3">
        <v>2659.51</v>
      </c>
      <c r="L3">
        <v>368.43</v>
      </c>
      <c r="N3" s="4">
        <f>21628.37+20.1</f>
        <v>21648.469999999998</v>
      </c>
      <c r="O3" s="4">
        <f>20811.17+1003.43</f>
        <v>21814.6</v>
      </c>
      <c r="P3" s="4">
        <v>23045.99</v>
      </c>
      <c r="Q3" s="4">
        <v>8588.52</v>
      </c>
      <c r="Y3" s="2"/>
      <c r="Z3" s="5" t="s">
        <v>15</v>
      </c>
      <c r="AC3" s="6"/>
      <c r="AF3" s="2"/>
      <c r="AG3" s="5" t="s">
        <v>16</v>
      </c>
      <c r="AJ3" s="6"/>
      <c r="AM3" s="2"/>
      <c r="AN3" s="5" t="s">
        <v>17</v>
      </c>
      <c r="AQ3" s="6"/>
    </row>
    <row r="4" spans="1:44" ht="31.2" x14ac:dyDescent="0.6">
      <c r="B4" s="7" t="s">
        <v>18</v>
      </c>
      <c r="E4" s="7">
        <v>33.35</v>
      </c>
      <c r="J4">
        <v>2635.27</v>
      </c>
      <c r="L4">
        <v>38.369999999999997</v>
      </c>
      <c r="N4" s="7">
        <v>267.25</v>
      </c>
      <c r="O4" s="7">
        <v>499.31</v>
      </c>
      <c r="P4" s="7">
        <v>481.31</v>
      </c>
      <c r="Q4" s="4">
        <v>47.85</v>
      </c>
      <c r="Y4" s="2"/>
      <c r="AB4" s="8" t="s">
        <v>19</v>
      </c>
      <c r="AC4" s="9">
        <v>343256.46</v>
      </c>
      <c r="AD4" s="8" t="s">
        <v>20</v>
      </c>
      <c r="AF4" s="2"/>
      <c r="AI4" s="8" t="s">
        <v>19</v>
      </c>
      <c r="AJ4" s="9">
        <v>343544.79</v>
      </c>
      <c r="AK4" s="8" t="s">
        <v>20</v>
      </c>
      <c r="AM4" s="2"/>
      <c r="AP4" s="8" t="s">
        <v>19</v>
      </c>
      <c r="AQ4" s="9">
        <f>89782.2*3.1</f>
        <v>278324.82</v>
      </c>
      <c r="AR4" s="8" t="s">
        <v>20</v>
      </c>
    </row>
    <row r="5" spans="1:44" x14ac:dyDescent="0.3">
      <c r="J5">
        <v>1183.1300000000001</v>
      </c>
      <c r="L5" s="4">
        <f>SUM(L3:L4)</f>
        <v>406.8</v>
      </c>
      <c r="O5" s="7">
        <v>126.39</v>
      </c>
      <c r="P5" s="7">
        <v>34.83</v>
      </c>
      <c r="Q5" s="7">
        <f>164.42+259.13</f>
        <v>423.54999999999995</v>
      </c>
      <c r="Y5" s="2"/>
      <c r="AC5" s="6"/>
      <c r="AF5" s="2"/>
      <c r="AJ5" s="6"/>
      <c r="AM5" s="2"/>
      <c r="AQ5" s="6"/>
    </row>
    <row r="6" spans="1:44" ht="31.2" x14ac:dyDescent="0.6">
      <c r="J6">
        <v>2698.63</v>
      </c>
      <c r="Y6" s="2"/>
      <c r="AB6" s="8" t="s">
        <v>21</v>
      </c>
      <c r="AC6" s="9">
        <f>4281.04*3.1</f>
        <v>13271.224</v>
      </c>
      <c r="AD6" s="8" t="s">
        <v>20</v>
      </c>
      <c r="AF6" s="2"/>
      <c r="AI6" s="8" t="s">
        <v>21</v>
      </c>
      <c r="AJ6" s="9">
        <f>5061.39*3.1</f>
        <v>15690.309000000001</v>
      </c>
      <c r="AK6" s="8" t="s">
        <v>20</v>
      </c>
      <c r="AM6" s="2"/>
      <c r="AP6" s="8" t="s">
        <v>21</v>
      </c>
      <c r="AQ6" s="10">
        <v>6527.8249999999998</v>
      </c>
      <c r="AR6" s="8" t="s">
        <v>20</v>
      </c>
    </row>
    <row r="7" spans="1:44" x14ac:dyDescent="0.3">
      <c r="J7" s="4">
        <f>SUM(Tableau573[16-oct])</f>
        <v>9176.5400000000009</v>
      </c>
      <c r="Y7" s="2"/>
      <c r="AC7" s="6"/>
      <c r="AF7" s="2"/>
      <c r="AJ7" s="6"/>
      <c r="AM7" s="2"/>
      <c r="AQ7" s="6"/>
    </row>
    <row r="8" spans="1:44" ht="31.2" x14ac:dyDescent="0.6">
      <c r="Y8" s="2"/>
      <c r="AB8" s="8" t="s">
        <v>22</v>
      </c>
      <c r="AC8" s="9">
        <f>(63.5+267.27)*2.7</f>
        <v>893.07900000000006</v>
      </c>
      <c r="AD8" s="8" t="s">
        <v>20</v>
      </c>
      <c r="AF8" s="2"/>
      <c r="AI8" s="8" t="s">
        <v>22</v>
      </c>
      <c r="AJ8" s="9">
        <f>(63.26+94.37+176+423.96+331.81+90)*2.7</f>
        <v>3184.3799999999997</v>
      </c>
      <c r="AK8" s="8" t="s">
        <v>20</v>
      </c>
      <c r="AM8" s="2"/>
      <c r="AP8" s="8" t="s">
        <v>22</v>
      </c>
      <c r="AQ8" s="9">
        <v>2181.627</v>
      </c>
      <c r="AR8" s="8" t="s">
        <v>20</v>
      </c>
    </row>
    <row r="9" spans="1:44" ht="18" x14ac:dyDescent="0.35">
      <c r="B9" s="4" t="s">
        <v>23</v>
      </c>
      <c r="C9" cm="1">
        <f t="array" ref="C9">D3+E3+F3+Tableau875[16-oct]+Tableau573[[#Totals],[16-oct]]+L5+N3+O3+P3+Q3+Q4</f>
        <v>97724.49000000002</v>
      </c>
      <c r="D9" t="s">
        <v>24</v>
      </c>
      <c r="F9" s="11" t="s">
        <v>25</v>
      </c>
      <c r="Y9" s="2"/>
      <c r="AF9" s="2"/>
      <c r="AM9" s="2"/>
    </row>
    <row r="10" spans="1:44" x14ac:dyDescent="0.3">
      <c r="B10" s="7" t="s">
        <v>26</v>
      </c>
      <c r="C10">
        <f>E4+N4+O4+O5+P4+P5+Q5</f>
        <v>1865.99</v>
      </c>
      <c r="D10" t="s">
        <v>24</v>
      </c>
      <c r="Y10" s="2"/>
      <c r="AA10" s="12"/>
      <c r="AF10" s="2"/>
      <c r="AM10" s="2"/>
    </row>
    <row r="11" spans="1:44" ht="36.6" x14ac:dyDescent="0.7">
      <c r="G11" s="13" t="s">
        <v>27</v>
      </c>
      <c r="H11" s="14">
        <f>H14*0.951087</f>
        <v>292919.66610800405</v>
      </c>
      <c r="I11" s="13" t="s">
        <v>28</v>
      </c>
      <c r="K11" s="13">
        <f>C9*3.1</f>
        <v>302945.91900000005</v>
      </c>
      <c r="M11" s="15" t="s">
        <v>29</v>
      </c>
      <c r="N11" s="15"/>
      <c r="O11" s="16">
        <f>H14*0.1865</f>
        <v>57439.033158000013</v>
      </c>
      <c r="P11" s="15" t="s">
        <v>20</v>
      </c>
      <c r="Y11" s="2"/>
      <c r="AB11" s="17" t="s">
        <v>30</v>
      </c>
      <c r="AC11" s="18">
        <f>AC4+AC6+AC8</f>
        <v>357420.76300000004</v>
      </c>
      <c r="AD11" s="17" t="s">
        <v>20</v>
      </c>
      <c r="AF11" s="2"/>
      <c r="AI11" s="17" t="s">
        <v>30</v>
      </c>
      <c r="AJ11" s="18">
        <f>AJ4+AJ6+AJ8</f>
        <v>362419.47899999999</v>
      </c>
      <c r="AK11" s="17" t="s">
        <v>20</v>
      </c>
      <c r="AM11" s="2"/>
      <c r="AP11" s="17" t="s">
        <v>30</v>
      </c>
      <c r="AQ11" s="18">
        <f>AQ4+AQ6+AQ8</f>
        <v>287034.272</v>
      </c>
      <c r="AR11" s="17" t="s">
        <v>20</v>
      </c>
    </row>
    <row r="12" spans="1:44" ht="23.4" x14ac:dyDescent="0.45">
      <c r="G12" s="13" t="s">
        <v>31</v>
      </c>
      <c r="H12" s="19">
        <f>H14*0.042933</f>
        <v>13222.681021836002</v>
      </c>
      <c r="I12" s="13" t="s">
        <v>28</v>
      </c>
      <c r="K12" s="14">
        <f>C10*2.7</f>
        <v>5038.1730000000007</v>
      </c>
      <c r="M12" s="15" t="s">
        <v>32</v>
      </c>
      <c r="N12" s="15"/>
      <c r="O12" s="16">
        <f>H14*(1-0.1865)</f>
        <v>250545.05884200006</v>
      </c>
      <c r="P12" s="15" t="s">
        <v>20</v>
      </c>
      <c r="Y12" s="2"/>
      <c r="AF12" s="2"/>
      <c r="AM12" s="2"/>
    </row>
    <row r="13" spans="1:44" x14ac:dyDescent="0.3">
      <c r="G13" s="13" t="s">
        <v>33</v>
      </c>
      <c r="H13" s="13">
        <f>H14*0.00598</f>
        <v>1841.7448701600003</v>
      </c>
      <c r="I13" s="13" t="s">
        <v>28</v>
      </c>
      <c r="Y13" s="2"/>
      <c r="AF13" s="2"/>
      <c r="AM13" s="2"/>
    </row>
    <row r="14" spans="1:44" ht="15.6" x14ac:dyDescent="0.3">
      <c r="G14" s="20" t="s">
        <v>4</v>
      </c>
      <c r="H14" s="21">
        <f>K11+K12</f>
        <v>307984.09200000006</v>
      </c>
      <c r="I14" s="20" t="s">
        <v>28</v>
      </c>
      <c r="Y14" s="2"/>
      <c r="AF14" s="2"/>
      <c r="AM14" s="2"/>
    </row>
    <row r="15" spans="1:44" x14ac:dyDescent="0.3">
      <c r="Y15" s="2"/>
      <c r="AF15" s="2"/>
      <c r="AM15" s="2"/>
    </row>
    <row r="16" spans="1:44" x14ac:dyDescent="0.3">
      <c r="Y16" s="2"/>
      <c r="AF16" s="2"/>
      <c r="AM16" s="2"/>
    </row>
    <row r="17" spans="1:4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6" x14ac:dyDescent="0.3">
      <c r="A18" s="1" t="s">
        <v>34</v>
      </c>
      <c r="F18" s="1" t="s">
        <v>1</v>
      </c>
      <c r="G18" s="1"/>
      <c r="H18" s="1"/>
      <c r="I18" s="1"/>
      <c r="J18" s="1" t="s">
        <v>5</v>
      </c>
      <c r="K18" s="1"/>
      <c r="L18" s="1"/>
      <c r="M18" s="1"/>
      <c r="N18" s="1"/>
      <c r="O18" s="1" t="s">
        <v>3</v>
      </c>
      <c r="P18" s="1"/>
      <c r="Q18" s="1"/>
      <c r="R18" s="1" t="s">
        <v>4</v>
      </c>
      <c r="S18" s="1"/>
      <c r="T18" s="1"/>
      <c r="U18" s="1"/>
      <c r="V18" s="1" t="s">
        <v>2</v>
      </c>
      <c r="Y18" s="2"/>
      <c r="AF18" s="2"/>
      <c r="AM18" s="2"/>
    </row>
    <row r="19" spans="1:45" ht="18" x14ac:dyDescent="0.35">
      <c r="F19" s="3" t="s">
        <v>35</v>
      </c>
      <c r="G19" s="3" t="s">
        <v>36</v>
      </c>
      <c r="H19" s="3" t="s">
        <v>37</v>
      </c>
      <c r="J19" s="3" t="s">
        <v>38</v>
      </c>
      <c r="K19" s="3" t="s">
        <v>39</v>
      </c>
      <c r="L19" s="3" t="s">
        <v>40</v>
      </c>
      <c r="M19" s="3" t="s">
        <v>37</v>
      </c>
      <c r="O19" s="3" t="s">
        <v>41</v>
      </c>
      <c r="P19" s="3" t="s">
        <v>42</v>
      </c>
      <c r="R19" s="3" t="s">
        <v>38</v>
      </c>
      <c r="S19" s="3" t="s">
        <v>39</v>
      </c>
      <c r="T19" s="3" t="s">
        <v>37</v>
      </c>
      <c r="V19" s="3" t="s">
        <v>41</v>
      </c>
      <c r="W19" s="3" t="s">
        <v>42</v>
      </c>
      <c r="Y19" s="2"/>
      <c r="Z19" s="5" t="s">
        <v>43</v>
      </c>
      <c r="AC19" s="6"/>
      <c r="AF19" s="2"/>
      <c r="AM19" s="2"/>
    </row>
    <row r="20" spans="1:45" ht="31.2" x14ac:dyDescent="0.6">
      <c r="B20" s="4" t="s">
        <v>14</v>
      </c>
      <c r="F20" s="4">
        <v>1964.04</v>
      </c>
      <c r="G20" s="4">
        <v>1759.19</v>
      </c>
      <c r="H20" s="4">
        <v>3514.13</v>
      </c>
      <c r="J20" s="4">
        <v>19095.580000000002</v>
      </c>
      <c r="K20" s="4">
        <f>27368.17+255+37900</f>
        <v>65523.17</v>
      </c>
      <c r="L20" s="4">
        <f>34349.92</f>
        <v>34349.919999999998</v>
      </c>
      <c r="M20" s="4">
        <f>22393.37+774.99</f>
        <v>23168.36</v>
      </c>
      <c r="O20">
        <v>2425.73</v>
      </c>
      <c r="P20">
        <v>1708.72</v>
      </c>
      <c r="R20">
        <v>1574.93</v>
      </c>
      <c r="S20">
        <v>1037.51</v>
      </c>
      <c r="T20">
        <v>1405.24</v>
      </c>
      <c r="V20">
        <v>130</v>
      </c>
      <c r="W20">
        <v>185.58</v>
      </c>
      <c r="Y20" s="2"/>
      <c r="AB20" s="8" t="s">
        <v>19</v>
      </c>
      <c r="AC20" s="9">
        <v>342774.22</v>
      </c>
      <c r="AD20" s="8" t="s">
        <v>20</v>
      </c>
      <c r="AF20" s="2"/>
      <c r="AG20" s="5" t="s">
        <v>44</v>
      </c>
      <c r="AJ20" s="6"/>
      <c r="AM20" s="2"/>
      <c r="AN20" s="5" t="s">
        <v>45</v>
      </c>
      <c r="AQ20" s="6"/>
    </row>
    <row r="21" spans="1:45" ht="31.2" x14ac:dyDescent="0.6">
      <c r="B21" s="7" t="s">
        <v>18</v>
      </c>
      <c r="J21" s="7">
        <f>477.75+35.55</f>
        <v>513.29999999999995</v>
      </c>
      <c r="K21" s="7">
        <f>22.58+392.98</f>
        <v>415.56</v>
      </c>
      <c r="L21" s="7">
        <f>29.01+311.44+131.37</f>
        <v>471.82</v>
      </c>
      <c r="M21" s="7">
        <f>29+333.33</f>
        <v>362.33</v>
      </c>
      <c r="O21">
        <v>1367.84</v>
      </c>
      <c r="P21">
        <v>809.96</v>
      </c>
      <c r="R21">
        <v>69.55</v>
      </c>
      <c r="V21">
        <v>258.33999999999997</v>
      </c>
      <c r="W21">
        <v>102.8</v>
      </c>
      <c r="Y21" s="2"/>
      <c r="AC21" s="6"/>
      <c r="AF21" s="2"/>
      <c r="AI21" s="8" t="s">
        <v>19</v>
      </c>
      <c r="AJ21" s="9">
        <v>378899.79</v>
      </c>
      <c r="AK21" s="8" t="s">
        <v>20</v>
      </c>
      <c r="AM21" s="2"/>
      <c r="AP21" s="8" t="s">
        <v>19</v>
      </c>
      <c r="AQ21" s="9">
        <f>226770.98*0.9514</f>
        <v>215749.91037200001</v>
      </c>
      <c r="AR21" s="8" t="s">
        <v>20</v>
      </c>
    </row>
    <row r="22" spans="1:45" ht="31.2" x14ac:dyDescent="0.6">
      <c r="O22">
        <v>1163.8900000000001</v>
      </c>
      <c r="P22">
        <v>711.19</v>
      </c>
      <c r="R22">
        <v>352.68</v>
      </c>
      <c r="V22">
        <v>198</v>
      </c>
      <c r="W22">
        <v>120</v>
      </c>
      <c r="Y22" s="2"/>
      <c r="AB22" s="8" t="s">
        <v>21</v>
      </c>
      <c r="AC22" s="9">
        <f>5892.16*3.1</f>
        <v>18265.696</v>
      </c>
      <c r="AD22" s="8" t="s">
        <v>20</v>
      </c>
      <c r="AF22" s="2"/>
      <c r="AJ22" s="6"/>
      <c r="AM22" s="2"/>
      <c r="AQ22" s="6"/>
    </row>
    <row r="23" spans="1:45" ht="31.2" x14ac:dyDescent="0.6">
      <c r="O23">
        <v>2871.02</v>
      </c>
      <c r="P23">
        <v>1489.71</v>
      </c>
      <c r="R23" s="4">
        <f>SUM(Tableau1184[08-nov])</f>
        <v>1997.16</v>
      </c>
      <c r="S23" s="4">
        <f>SUM(Tableau1285[15-nov])</f>
        <v>1037.51</v>
      </c>
      <c r="T23" s="4">
        <f>SUM(Tableau1285[30-nov])</f>
        <v>1405.24</v>
      </c>
      <c r="V23">
        <v>240</v>
      </c>
      <c r="W23">
        <v>123.29</v>
      </c>
      <c r="Y23" s="2"/>
      <c r="AC23" s="6"/>
      <c r="AF23" s="2"/>
      <c r="AI23" s="8" t="s">
        <v>21</v>
      </c>
      <c r="AJ23" s="9">
        <f>5945.23*3.1</f>
        <v>18430.213</v>
      </c>
      <c r="AK23" s="8" t="s">
        <v>20</v>
      </c>
      <c r="AM23" s="2"/>
      <c r="AP23" s="8" t="s">
        <v>21</v>
      </c>
      <c r="AQ23" s="10">
        <f>226770.98*0.04262</f>
        <v>9664.9791676000004</v>
      </c>
      <c r="AR23" s="8" t="s">
        <v>20</v>
      </c>
    </row>
    <row r="24" spans="1:45" ht="31.2" x14ac:dyDescent="0.6">
      <c r="O24" s="4">
        <f>SUM(Tableau1386[02-nov])</f>
        <v>7828.48</v>
      </c>
      <c r="P24" s="4">
        <f>SUM(Tableau1386[16-nov])</f>
        <v>4719.58</v>
      </c>
      <c r="V24">
        <v>131</v>
      </c>
      <c r="W24">
        <v>185</v>
      </c>
      <c r="Y24" s="2"/>
      <c r="AB24" s="8" t="s">
        <v>22</v>
      </c>
      <c r="AC24" s="9">
        <f>(104.64+169.96+388.02+118.3+133)*2.7</f>
        <v>2467.5839999999998</v>
      </c>
      <c r="AD24" s="8" t="s">
        <v>20</v>
      </c>
      <c r="AF24" s="2"/>
      <c r="AJ24" s="6"/>
      <c r="AM24" s="2"/>
      <c r="AQ24" s="6"/>
    </row>
    <row r="25" spans="1:45" ht="31.2" x14ac:dyDescent="0.6">
      <c r="V25">
        <v>140.35</v>
      </c>
      <c r="W25">
        <v>178</v>
      </c>
      <c r="Y25" s="2"/>
      <c r="AF25" s="2"/>
      <c r="AI25" s="8" t="s">
        <v>22</v>
      </c>
      <c r="AJ25" s="9">
        <f>(123+256+143+178+84)*2.7</f>
        <v>2116.8000000000002</v>
      </c>
      <c r="AK25" s="8" t="s">
        <v>20</v>
      </c>
      <c r="AM25" s="2"/>
      <c r="AP25" s="8" t="s">
        <v>22</v>
      </c>
      <c r="AQ25" s="9">
        <f>226770.98*0.00598</f>
        <v>1356.0904604</v>
      </c>
      <c r="AR25" s="8" t="s">
        <v>20</v>
      </c>
    </row>
    <row r="26" spans="1:45" ht="18" x14ac:dyDescent="0.35">
      <c r="B26" s="4" t="s">
        <v>23</v>
      </c>
      <c r="C26" cm="1">
        <f t="array" ref="C26">Tableau1487[10-nov]+Tableau1487[20-nov]+Tableau1487[30-nov]+V30+W30+Tableau1386[[#Totals],[02-nov]]+Tableau1386[[#Totals],[16-nov]]+Tableau1184[[#Totals],[08-nov]]+S23+T23+J20+K20+L20+M20</f>
        <v>169054.83999999997</v>
      </c>
      <c r="D26" t="s">
        <v>24</v>
      </c>
      <c r="F26" s="11" t="s">
        <v>25</v>
      </c>
      <c r="V26">
        <v>81.56</v>
      </c>
      <c r="W26">
        <v>118.44</v>
      </c>
      <c r="Y26" s="2"/>
      <c r="AA26" s="12"/>
      <c r="AF26" s="2"/>
      <c r="AM26" s="2"/>
    </row>
    <row r="27" spans="1:45" ht="36.6" x14ac:dyDescent="0.7">
      <c r="B27" s="7" t="s">
        <v>26</v>
      </c>
      <c r="C27">
        <f>J21+K21+L21+M21</f>
        <v>1763.0099999999998</v>
      </c>
      <c r="D27" t="s">
        <v>24</v>
      </c>
      <c r="W27">
        <v>267.14</v>
      </c>
      <c r="Y27" s="2"/>
      <c r="AB27" s="17" t="s">
        <v>30</v>
      </c>
      <c r="AC27" s="18">
        <f>AC20+AC22+AC24</f>
        <v>363507.49999999994</v>
      </c>
      <c r="AD27" s="17" t="s">
        <v>20</v>
      </c>
      <c r="AF27" s="2"/>
      <c r="AM27" s="2"/>
    </row>
    <row r="28" spans="1:45" ht="36.6" x14ac:dyDescent="0.7">
      <c r="G28" s="13" t="s">
        <v>27</v>
      </c>
      <c r="H28" s="13">
        <f>H31*0.951087</f>
        <v>502963.46280239697</v>
      </c>
      <c r="I28" s="13" t="s">
        <v>28</v>
      </c>
      <c r="K28" s="14">
        <f>C26*3.1</f>
        <v>524070.0039999999</v>
      </c>
      <c r="M28" s="15" t="s">
        <v>29</v>
      </c>
      <c r="N28" s="15"/>
      <c r="O28" s="16">
        <f>H31*0.1865</f>
        <v>98626.819431499986</v>
      </c>
      <c r="P28" s="15" t="s">
        <v>20</v>
      </c>
      <c r="W28">
        <v>118.98</v>
      </c>
      <c r="Y28" s="2"/>
      <c r="AF28" s="2"/>
      <c r="AM28" s="2"/>
      <c r="AP28" s="17" t="s">
        <v>30</v>
      </c>
      <c r="AQ28" s="18">
        <f>AQ21+AQ23+AQ25</f>
        <v>226770.98</v>
      </c>
      <c r="AR28" s="17" t="s">
        <v>20</v>
      </c>
    </row>
    <row r="29" spans="1:45" ht="36.6" x14ac:dyDescent="0.7">
      <c r="G29" s="13" t="s">
        <v>31</v>
      </c>
      <c r="H29" s="13">
        <f>0.042933*H31</f>
        <v>22704.264014222998</v>
      </c>
      <c r="I29" s="13" t="s">
        <v>28</v>
      </c>
      <c r="K29" s="14">
        <f>C27*2.7</f>
        <v>4760.1269999999995</v>
      </c>
      <c r="M29" s="15" t="s">
        <v>32</v>
      </c>
      <c r="N29" s="15"/>
      <c r="O29" s="16">
        <f>H31*(1-0.1865)</f>
        <v>430203.31156849995</v>
      </c>
      <c r="P29" s="15" t="s">
        <v>20</v>
      </c>
      <c r="W29">
        <v>114</v>
      </c>
      <c r="Y29" s="2"/>
      <c r="AF29" s="2"/>
      <c r="AI29" s="17" t="s">
        <v>30</v>
      </c>
      <c r="AJ29" s="18">
        <f>AJ21+AJ23+AJ25</f>
        <v>399446.80299999996</v>
      </c>
      <c r="AK29" s="17" t="s">
        <v>20</v>
      </c>
      <c r="AM29" s="2"/>
    </row>
    <row r="30" spans="1:45" x14ac:dyDescent="0.3">
      <c r="G30" s="13" t="s">
        <v>33</v>
      </c>
      <c r="H30" s="13">
        <f>0.00598*H31</f>
        <v>3162.4041833799997</v>
      </c>
      <c r="I30" s="13" t="s">
        <v>28</v>
      </c>
      <c r="V30" s="4">
        <f>SUM(V20:V29)</f>
        <v>1179.2499999999998</v>
      </c>
      <c r="W30" s="4">
        <f>SUM(W20:W29)</f>
        <v>1513.23</v>
      </c>
      <c r="Y30" s="2"/>
      <c r="AF30" s="2"/>
      <c r="AM30" s="2"/>
    </row>
    <row r="31" spans="1:45" ht="15.6" x14ac:dyDescent="0.3">
      <c r="G31" s="20" t="s">
        <v>4</v>
      </c>
      <c r="H31" s="21">
        <f>K28+K29</f>
        <v>528830.13099999994</v>
      </c>
      <c r="I31" s="20" t="s">
        <v>28</v>
      </c>
      <c r="Y31" s="2"/>
      <c r="AF31" s="2"/>
      <c r="AM31" s="2"/>
    </row>
    <row r="32" spans="1:4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4" ht="15.6" x14ac:dyDescent="0.3">
      <c r="A33" s="1" t="s">
        <v>46</v>
      </c>
      <c r="Y33" s="2"/>
      <c r="AF33" s="2"/>
      <c r="AM33" s="2"/>
    </row>
    <row r="34" spans="1:44" ht="18" x14ac:dyDescent="0.35">
      <c r="F34" s="1" t="s">
        <v>1</v>
      </c>
      <c r="G34" s="1"/>
      <c r="H34" s="1"/>
      <c r="I34" s="1"/>
      <c r="M34" s="1"/>
      <c r="O34" s="1" t="s">
        <v>3</v>
      </c>
      <c r="P34" s="1"/>
      <c r="Q34" s="1" t="s">
        <v>4</v>
      </c>
      <c r="R34" s="1"/>
      <c r="S34" s="1"/>
      <c r="T34" s="1" t="s">
        <v>2</v>
      </c>
      <c r="U34" s="1"/>
      <c r="V34" s="1"/>
      <c r="Y34" s="2"/>
      <c r="Z34" s="5" t="s">
        <v>47</v>
      </c>
      <c r="AC34" s="6"/>
      <c r="AF34" s="2"/>
      <c r="AG34" s="5" t="s">
        <v>48</v>
      </c>
      <c r="AM34" s="2"/>
      <c r="AN34" s="5" t="s">
        <v>49</v>
      </c>
      <c r="AQ34" s="6"/>
    </row>
    <row r="35" spans="1:44" ht="31.2" x14ac:dyDescent="0.6">
      <c r="F35" s="3" t="s">
        <v>50</v>
      </c>
      <c r="G35" s="3" t="s">
        <v>51</v>
      </c>
      <c r="H35" s="3" t="s">
        <v>52</v>
      </c>
      <c r="J35" s="1" t="s">
        <v>5</v>
      </c>
      <c r="K35" s="1"/>
      <c r="L35" s="1"/>
      <c r="M35" s="1"/>
      <c r="O35" s="3" t="s">
        <v>53</v>
      </c>
      <c r="Q35" s="3" t="s">
        <v>54</v>
      </c>
      <c r="R35" s="3" t="s">
        <v>55</v>
      </c>
      <c r="T35" s="3" t="s">
        <v>56</v>
      </c>
      <c r="U35" s="3" t="s">
        <v>57</v>
      </c>
      <c r="V35" s="3" t="s">
        <v>52</v>
      </c>
      <c r="Y35" s="2"/>
      <c r="AB35" s="8" t="s">
        <v>19</v>
      </c>
      <c r="AC35" s="9">
        <v>357672.2</v>
      </c>
      <c r="AD35" s="8" t="s">
        <v>20</v>
      </c>
      <c r="AF35" s="2"/>
      <c r="AI35" s="8" t="s">
        <v>58</v>
      </c>
      <c r="AJ35" s="9">
        <v>423634.96</v>
      </c>
      <c r="AK35" s="8" t="s">
        <v>20</v>
      </c>
      <c r="AM35" s="2"/>
      <c r="AP35" s="8" t="s">
        <v>19</v>
      </c>
      <c r="AQ35" s="9">
        <f>536798.64*0.9514</f>
        <v>510710.226096</v>
      </c>
      <c r="AR35" s="8" t="s">
        <v>20</v>
      </c>
    </row>
    <row r="36" spans="1:44" x14ac:dyDescent="0.3">
      <c r="F36" s="4">
        <v>7510.32</v>
      </c>
      <c r="G36" s="4">
        <v>6693.01</v>
      </c>
      <c r="H36" s="4">
        <v>424.64</v>
      </c>
      <c r="J36" s="3" t="s">
        <v>59</v>
      </c>
      <c r="K36" s="3" t="s">
        <v>54</v>
      </c>
      <c r="L36" s="3" t="s">
        <v>60</v>
      </c>
      <c r="M36" s="3" t="s">
        <v>55</v>
      </c>
      <c r="O36">
        <v>181</v>
      </c>
      <c r="Q36" s="4">
        <v>1199.26</v>
      </c>
      <c r="R36" s="4">
        <v>371.24</v>
      </c>
      <c r="T36">
        <v>128.03</v>
      </c>
      <c r="U36">
        <v>190</v>
      </c>
      <c r="V36">
        <v>214</v>
      </c>
      <c r="Y36" s="2"/>
      <c r="AC36" s="6"/>
      <c r="AF36" s="2"/>
      <c r="AJ36" s="6"/>
      <c r="AM36" s="2"/>
      <c r="AQ36" s="6"/>
    </row>
    <row r="37" spans="1:44" ht="31.2" x14ac:dyDescent="0.6">
      <c r="J37" s="4">
        <f>48865.63+72.47</f>
        <v>48938.1</v>
      </c>
      <c r="K37" s="4">
        <f>24517.18+1011.99</f>
        <v>25529.170000000002</v>
      </c>
      <c r="L37" s="4">
        <v>27648.45</v>
      </c>
      <c r="M37" s="4">
        <v>6414.64</v>
      </c>
      <c r="O37">
        <v>490.07</v>
      </c>
      <c r="Q37" s="7">
        <v>36.47</v>
      </c>
      <c r="T37">
        <v>200</v>
      </c>
      <c r="U37">
        <v>57.45</v>
      </c>
      <c r="V37">
        <v>240</v>
      </c>
      <c r="Y37" s="2"/>
      <c r="AB37" s="8" t="s">
        <v>21</v>
      </c>
      <c r="AC37" s="9">
        <f>5021.29*3.1</f>
        <v>15565.999</v>
      </c>
      <c r="AD37" s="8" t="s">
        <v>20</v>
      </c>
      <c r="AF37" s="2"/>
      <c r="AI37" s="8" t="s">
        <v>61</v>
      </c>
      <c r="AJ37" s="9">
        <v>17992.93</v>
      </c>
      <c r="AK37" s="8" t="s">
        <v>20</v>
      </c>
      <c r="AM37" s="2"/>
      <c r="AP37" s="8" t="s">
        <v>21</v>
      </c>
      <c r="AQ37" s="10">
        <f>536798.64*0.04262</f>
        <v>22878.3580368</v>
      </c>
      <c r="AR37" s="8" t="s">
        <v>20</v>
      </c>
    </row>
    <row r="38" spans="1:44" x14ac:dyDescent="0.3">
      <c r="J38" s="7">
        <f>90.52+430.22</f>
        <v>520.74</v>
      </c>
      <c r="K38" s="7">
        <f>53.82+295.07+73.91</f>
        <v>422.79999999999995</v>
      </c>
      <c r="L38" s="7">
        <f>222.3+25.65</f>
        <v>247.95000000000002</v>
      </c>
      <c r="M38" s="7">
        <f>107.44+37.01+90.47</f>
        <v>234.92</v>
      </c>
      <c r="O38">
        <v>207.18</v>
      </c>
      <c r="T38">
        <v>240.4</v>
      </c>
      <c r="U38">
        <v>77.91</v>
      </c>
      <c r="V38">
        <v>57</v>
      </c>
      <c r="Y38" s="2"/>
      <c r="AC38" s="6"/>
      <c r="AF38" s="2"/>
      <c r="AJ38" s="6"/>
      <c r="AM38" s="2"/>
      <c r="AQ38" s="6"/>
    </row>
    <row r="39" spans="1:44" ht="31.2" x14ac:dyDescent="0.6">
      <c r="O39" s="4">
        <f>SUM(O36:O38)</f>
        <v>878.25</v>
      </c>
      <c r="T39">
        <v>128</v>
      </c>
      <c r="U39">
        <v>229</v>
      </c>
      <c r="V39">
        <v>127</v>
      </c>
      <c r="Y39" s="2"/>
      <c r="AB39" s="8" t="s">
        <v>22</v>
      </c>
      <c r="AC39" s="9">
        <f>(157+76+401.5+270.67+99.25)*2.7</f>
        <v>2711.9340000000002</v>
      </c>
      <c r="AD39" s="8" t="s">
        <v>20</v>
      </c>
      <c r="AF39" s="2"/>
      <c r="AI39" s="8" t="s">
        <v>62</v>
      </c>
      <c r="AJ39" s="9">
        <v>2357.1799999999998</v>
      </c>
      <c r="AK39" s="8" t="s">
        <v>20</v>
      </c>
      <c r="AM39" s="2"/>
      <c r="AP39" s="8" t="s">
        <v>22</v>
      </c>
      <c r="AQ39" s="9">
        <f>536798.64*0.00598</f>
        <v>3210.0558672000002</v>
      </c>
      <c r="AR39" s="8" t="s">
        <v>20</v>
      </c>
    </row>
    <row r="40" spans="1:44" x14ac:dyDescent="0.3">
      <c r="T40">
        <v>128.06</v>
      </c>
      <c r="U40">
        <v>132</v>
      </c>
      <c r="V40">
        <v>58.45</v>
      </c>
      <c r="Y40" s="2"/>
      <c r="AF40" s="2"/>
      <c r="AM40" s="2"/>
    </row>
    <row r="41" spans="1:44" x14ac:dyDescent="0.3">
      <c r="T41">
        <v>196</v>
      </c>
      <c r="U41">
        <v>60.7</v>
      </c>
      <c r="V41">
        <v>70.02</v>
      </c>
      <c r="Y41" s="2"/>
      <c r="AF41" s="2"/>
      <c r="AM41" s="2"/>
    </row>
    <row r="42" spans="1:44" x14ac:dyDescent="0.3">
      <c r="T42">
        <v>220</v>
      </c>
      <c r="U42">
        <v>234.83</v>
      </c>
      <c r="V42">
        <v>184.83</v>
      </c>
      <c r="Y42" s="2"/>
      <c r="AF42" s="2"/>
      <c r="AM42" s="2"/>
    </row>
    <row r="43" spans="1:44" x14ac:dyDescent="0.3">
      <c r="T43">
        <v>242</v>
      </c>
      <c r="U43">
        <v>183.09</v>
      </c>
      <c r="V43">
        <v>180</v>
      </c>
      <c r="Y43" s="2"/>
      <c r="AF43" s="2"/>
      <c r="AM43" s="2"/>
    </row>
    <row r="44" spans="1:44" ht="36.6" x14ac:dyDescent="0.7">
      <c r="T44">
        <v>52</v>
      </c>
      <c r="U44">
        <v>83.9</v>
      </c>
      <c r="V44">
        <v>198.51</v>
      </c>
      <c r="Y44" s="2"/>
      <c r="AB44" s="17" t="s">
        <v>30</v>
      </c>
      <c r="AC44" s="18">
        <f>AC37+AC39+AC35</f>
        <v>375950.13300000003</v>
      </c>
      <c r="AD44" s="17" t="s">
        <v>20</v>
      </c>
      <c r="AF44" s="2"/>
      <c r="AI44" s="17" t="s">
        <v>30</v>
      </c>
      <c r="AJ44" s="18">
        <f>AJ37+AJ39+AJ35</f>
        <v>443985.07</v>
      </c>
      <c r="AK44" s="17" t="s">
        <v>20</v>
      </c>
      <c r="AM44" s="2"/>
      <c r="AP44" s="17" t="s">
        <v>30</v>
      </c>
      <c r="AQ44" s="18">
        <f>AQ35+AQ37+AQ39</f>
        <v>536798.64</v>
      </c>
      <c r="AR44" s="17" t="s">
        <v>20</v>
      </c>
    </row>
    <row r="45" spans="1:44" ht="18" x14ac:dyDescent="0.35">
      <c r="B45" s="4" t="s">
        <v>23</v>
      </c>
      <c r="C45" cm="1">
        <f t="array" ref="C45">Tableau176879[10-déc]+Tableau176879[20-déc]+Tableau176879[30-déc]+T60+U60+V60+O39+Q36+Tableau207182[31-déc]+J37+K37+L37+M37</f>
        <v>133608.83000000002</v>
      </c>
      <c r="D45" t="s">
        <v>24</v>
      </c>
      <c r="F45" s="11" t="s">
        <v>25</v>
      </c>
      <c r="T45">
        <v>244.5</v>
      </c>
      <c r="U45">
        <v>145.97</v>
      </c>
      <c r="V45">
        <v>214</v>
      </c>
      <c r="Y45" s="2"/>
      <c r="AF45" s="2"/>
      <c r="AM45" s="2"/>
    </row>
    <row r="46" spans="1:44" x14ac:dyDescent="0.3">
      <c r="B46" s="7" t="s">
        <v>26</v>
      </c>
      <c r="C46">
        <f>Q37+J38+K38+L38+M38</f>
        <v>1462.88</v>
      </c>
      <c r="D46" t="s">
        <v>24</v>
      </c>
      <c r="T46">
        <v>135</v>
      </c>
      <c r="U46">
        <v>55.1</v>
      </c>
      <c r="V46">
        <v>55.23</v>
      </c>
      <c r="Y46" s="2"/>
      <c r="AF46" s="2"/>
      <c r="AM46" s="2"/>
    </row>
    <row r="47" spans="1:44" ht="23.4" x14ac:dyDescent="0.45">
      <c r="G47" s="13" t="s">
        <v>27</v>
      </c>
      <c r="H47" s="13">
        <f>0.951087*H50</f>
        <v>397684.80663096311</v>
      </c>
      <c r="I47" s="22" t="s">
        <v>28</v>
      </c>
      <c r="K47" s="14">
        <f>C45*3.1</f>
        <v>414187.37300000008</v>
      </c>
      <c r="M47" s="15" t="s">
        <v>29</v>
      </c>
      <c r="N47" s="15"/>
      <c r="O47" s="16">
        <f>H50*0.1865</f>
        <v>77982.578288500023</v>
      </c>
      <c r="P47" s="15" t="s">
        <v>20</v>
      </c>
      <c r="T47">
        <v>60.87</v>
      </c>
      <c r="U47">
        <v>180</v>
      </c>
      <c r="V47">
        <v>173</v>
      </c>
      <c r="Y47" s="2"/>
      <c r="AF47" s="2"/>
      <c r="AM47" s="2"/>
    </row>
    <row r="48" spans="1:44" ht="23.4" x14ac:dyDescent="0.45">
      <c r="G48" s="13" t="s">
        <v>31</v>
      </c>
      <c r="H48" s="13">
        <f>0.042933*H50</f>
        <v>17951.882218017003</v>
      </c>
      <c r="I48" s="22" t="s">
        <v>28</v>
      </c>
      <c r="K48" s="14">
        <f>C46*2.7</f>
        <v>3949.7760000000007</v>
      </c>
      <c r="M48" s="15" t="s">
        <v>32</v>
      </c>
      <c r="N48" s="15"/>
      <c r="O48" s="16">
        <f>H50*(1-0.1865)</f>
        <v>340154.57071150007</v>
      </c>
      <c r="P48" s="15" t="s">
        <v>20</v>
      </c>
      <c r="T48">
        <v>163.69999999999999</v>
      </c>
      <c r="U48">
        <v>221</v>
      </c>
      <c r="V48">
        <v>103.97</v>
      </c>
      <c r="Y48" s="2"/>
      <c r="AF48" s="2"/>
      <c r="AM48" s="2"/>
    </row>
    <row r="49" spans="1:45" x14ac:dyDescent="0.3">
      <c r="G49" s="13" t="s">
        <v>33</v>
      </c>
      <c r="H49" s="13">
        <f>0.00598*H50</f>
        <v>2500.4601510200005</v>
      </c>
      <c r="I49" s="22" t="s">
        <v>28</v>
      </c>
      <c r="T49">
        <v>227.09</v>
      </c>
      <c r="U49">
        <v>51.94</v>
      </c>
      <c r="V49">
        <v>53.73</v>
      </c>
      <c r="Y49" s="2"/>
      <c r="AF49" s="2"/>
      <c r="AM49" s="2"/>
    </row>
    <row r="50" spans="1:45" ht="15.6" x14ac:dyDescent="0.3">
      <c r="G50" s="20" t="s">
        <v>4</v>
      </c>
      <c r="H50" s="14">
        <f>K47+K48</f>
        <v>418137.14900000009</v>
      </c>
      <c r="I50" s="20" t="s">
        <v>28</v>
      </c>
      <c r="T50">
        <v>182</v>
      </c>
      <c r="U50">
        <v>207</v>
      </c>
      <c r="V50">
        <v>57.72</v>
      </c>
      <c r="Y50" s="2"/>
      <c r="AC50" s="12"/>
      <c r="AF50" s="2"/>
      <c r="AM50" s="2"/>
    </row>
    <row r="51" spans="1:45" x14ac:dyDescent="0.3">
      <c r="T51">
        <v>111.08</v>
      </c>
      <c r="U51">
        <v>115.16</v>
      </c>
      <c r="Y51" s="2"/>
      <c r="AF51" s="2"/>
      <c r="AM51" s="2"/>
    </row>
    <row r="52" spans="1:45" x14ac:dyDescent="0.3">
      <c r="U52">
        <v>145</v>
      </c>
      <c r="Y52" s="2"/>
      <c r="AC52" s="12">
        <f>H12+H29+H48+AC6+AC22+AC37+AJ6+AJ23+AJ37+AQ6+AQ23+AQ37</f>
        <v>192166.36045847597</v>
      </c>
      <c r="AF52" s="2"/>
      <c r="AM52" s="2"/>
    </row>
    <row r="53" spans="1:45" x14ac:dyDescent="0.3">
      <c r="U53">
        <v>51</v>
      </c>
      <c r="Y53" s="2"/>
      <c r="AC53" s="12"/>
      <c r="AF53" s="2"/>
      <c r="AM53" s="2"/>
    </row>
    <row r="54" spans="1:45" x14ac:dyDescent="0.3">
      <c r="U54">
        <v>163</v>
      </c>
      <c r="Y54" s="2"/>
      <c r="AC54" s="12">
        <f>H13+H30+H49+AC8+AC24+AC39+AJ8+AJ25+AJ39+AQ8+AQ25+AQ39</f>
        <v>27983.33953216</v>
      </c>
      <c r="AF54" s="2"/>
      <c r="AM54" s="2"/>
    </row>
    <row r="55" spans="1:45" x14ac:dyDescent="0.3">
      <c r="U55">
        <v>219.75</v>
      </c>
      <c r="Y55" s="2"/>
      <c r="AF55" s="2"/>
      <c r="AH55">
        <f>(AC39+AC8+AC24+H13+H30+H49)/2.7</f>
        <v>5028.5948905777777</v>
      </c>
      <c r="AJ55" s="12"/>
      <c r="AM55" s="2"/>
    </row>
    <row r="56" spans="1:45" x14ac:dyDescent="0.3">
      <c r="U56">
        <v>223.3</v>
      </c>
      <c r="Y56" s="2"/>
      <c r="AF56" s="2"/>
      <c r="AM56" s="2"/>
    </row>
    <row r="57" spans="1:45" x14ac:dyDescent="0.3">
      <c r="U57">
        <v>57.8</v>
      </c>
      <c r="Y57" s="2"/>
      <c r="AF57" s="2"/>
      <c r="AM57" s="2"/>
    </row>
    <row r="58" spans="1:45" x14ac:dyDescent="0.3">
      <c r="U58">
        <v>183</v>
      </c>
      <c r="Y58" s="2"/>
      <c r="AF58" s="2"/>
      <c r="AM58" s="2"/>
    </row>
    <row r="59" spans="1:45" x14ac:dyDescent="0.3">
      <c r="U59">
        <v>87.66</v>
      </c>
      <c r="Y59" s="2"/>
      <c r="AF59" s="2"/>
      <c r="AM59" s="2"/>
    </row>
    <row r="60" spans="1:45" x14ac:dyDescent="0.3">
      <c r="T60" s="4">
        <f>SUM(T36:T59)</f>
        <v>2658.73</v>
      </c>
      <c r="U60" s="4">
        <f t="shared" ref="U60:V60" si="0">SUM(U36:U59)</f>
        <v>3355.5600000000004</v>
      </c>
      <c r="V60" s="4">
        <f t="shared" si="0"/>
        <v>1987.4600000000003</v>
      </c>
      <c r="Y60" s="2"/>
      <c r="AF60" s="2"/>
      <c r="AM60" s="2"/>
    </row>
    <row r="61" spans="1:4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6" x14ac:dyDescent="0.3">
      <c r="A62" s="1"/>
      <c r="Y62" s="2"/>
      <c r="AF62" s="2"/>
      <c r="AM62" s="2"/>
    </row>
    <row r="63" spans="1:45" x14ac:dyDescent="0.3">
      <c r="Y63" s="2"/>
      <c r="AF63" s="2"/>
      <c r="AM63" s="2"/>
    </row>
    <row r="64" spans="1:45" ht="61.2" x14ac:dyDescent="1.1000000000000001">
      <c r="I64" s="23">
        <f>O12+O29+O48+1440121.15+343802.52</f>
        <v>2804826.611122</v>
      </c>
      <c r="J64" s="24" t="s">
        <v>20</v>
      </c>
      <c r="Y64" s="2"/>
      <c r="AA64" s="25"/>
      <c r="AB64" s="25"/>
      <c r="AC64" s="26">
        <f>AQ64+AQ67</f>
        <v>220321.6283286</v>
      </c>
      <c r="AD64" s="27" t="s">
        <v>63</v>
      </c>
      <c r="AE64" s="25"/>
      <c r="AF64" s="28"/>
      <c r="AG64" s="25"/>
      <c r="AH64" s="25"/>
      <c r="AJ64" s="26">
        <f>AC4+AC20+AC35+AJ4+AJ21+AJ35+AQ35+AQ21+AQ4</f>
        <v>3194567.376468</v>
      </c>
      <c r="AK64" s="27" t="s">
        <v>63</v>
      </c>
      <c r="AM64" s="2"/>
      <c r="AQ64" s="26">
        <f>AC6+AC8+AC22+AC24+AC37+AC39+AJ6+AJ8+AJ23+AJ25+AJ37+AJ39+AQ6+AQ8+AQ23+AQ25+AQ37+AQ39</f>
        <v>158766.26353199998</v>
      </c>
      <c r="AR64" s="27" t="s">
        <v>63</v>
      </c>
    </row>
    <row r="65" spans="9:44" x14ac:dyDescent="0.3">
      <c r="Y65" s="2"/>
      <c r="AA65" s="25"/>
      <c r="AB65" s="25"/>
      <c r="AC65" s="25"/>
      <c r="AD65" s="25"/>
      <c r="AE65" s="25"/>
      <c r="AF65" s="28"/>
      <c r="AG65" s="25"/>
      <c r="AH65" s="25"/>
      <c r="AM65" s="2"/>
    </row>
    <row r="66" spans="9:44" x14ac:dyDescent="0.3">
      <c r="Y66" s="2"/>
      <c r="AA66" s="25"/>
      <c r="AB66" s="25"/>
      <c r="AC66" s="25"/>
      <c r="AD66" s="25"/>
      <c r="AE66" s="25"/>
      <c r="AF66" s="28"/>
      <c r="AG66" s="25"/>
      <c r="AH66" s="25"/>
      <c r="AM66" s="2"/>
    </row>
    <row r="67" spans="9:44" ht="61.2" x14ac:dyDescent="1.1000000000000001">
      <c r="R67">
        <f>(AC4+AC20+AC35+H47+H28+H11+AQ4+AQ21+AQ35+AJ35+AJ21+AJ4)/3.1</f>
        <v>1415527.5200030208</v>
      </c>
      <c r="Y67" s="2"/>
      <c r="AA67" s="25"/>
      <c r="AB67" s="25"/>
      <c r="AC67" s="25"/>
      <c r="AD67" s="25"/>
      <c r="AE67" s="25"/>
      <c r="AF67" s="28"/>
      <c r="AG67" s="25"/>
      <c r="AH67" s="25"/>
      <c r="AM67" s="2"/>
      <c r="AQ67" s="26">
        <f>(H14+H31+H50)*(4.905/100)</f>
        <v>61555.364796600006</v>
      </c>
      <c r="AR67" s="27" t="s">
        <v>63</v>
      </c>
    </row>
    <row r="68" spans="9:44" ht="61.2" x14ac:dyDescent="1.1000000000000001">
      <c r="Q68" s="12"/>
      <c r="Y68" s="2"/>
      <c r="AA68" s="25"/>
      <c r="AB68" s="25"/>
      <c r="AC68" s="26">
        <f>AJ64+AJ68</f>
        <v>4387963.3836714001</v>
      </c>
      <c r="AD68" s="27" t="s">
        <v>63</v>
      </c>
      <c r="AE68" s="25"/>
      <c r="AF68" s="28"/>
      <c r="AG68" s="25"/>
      <c r="AH68" s="25"/>
      <c r="AJ68" s="26">
        <f>(H14+H31+H50)*(95.095/100)</f>
        <v>1193396.0072033999</v>
      </c>
      <c r="AK68" s="27" t="s">
        <v>63</v>
      </c>
      <c r="AM68" s="2"/>
    </row>
    <row r="69" spans="9:44" ht="23.4" x14ac:dyDescent="0.45">
      <c r="I69" s="23">
        <f>O47+O28+O11+326026.32+79832.44</f>
        <v>639907.19087800011</v>
      </c>
      <c r="J69" s="24" t="s">
        <v>20</v>
      </c>
      <c r="Y69" s="2"/>
      <c r="AA69" s="25"/>
      <c r="AB69" s="25"/>
      <c r="AC69" s="25"/>
      <c r="AD69" s="25"/>
      <c r="AE69" s="25"/>
      <c r="AF69" s="28"/>
      <c r="AG69" s="25"/>
      <c r="AH69" s="25"/>
      <c r="AM69" s="2"/>
    </row>
    <row r="70" spans="9:44" x14ac:dyDescent="0.3">
      <c r="Y70" s="2"/>
      <c r="AA70" s="25"/>
      <c r="AB70" s="25"/>
      <c r="AC70" s="25"/>
      <c r="AD70" s="25"/>
      <c r="AE70" s="25"/>
      <c r="AF70" s="28"/>
      <c r="AG70" s="25"/>
      <c r="AH70" s="25"/>
      <c r="AM70" s="2"/>
    </row>
    <row r="71" spans="9:44" ht="61.2" x14ac:dyDescent="1.1000000000000001">
      <c r="Y71" s="2"/>
      <c r="AA71" s="25"/>
      <c r="AB71" s="25"/>
      <c r="AC71" s="26">
        <f>H14+H31+H50+AC11+AC27+AC44+AJ11+AJ29+AJ44+AQ44+AQ28+AQ11</f>
        <v>4608285.0120000001</v>
      </c>
      <c r="AD71" s="27" t="s">
        <v>20</v>
      </c>
      <c r="AE71" s="25"/>
      <c r="AF71" s="28"/>
      <c r="AG71" s="25"/>
      <c r="AH71" s="25"/>
      <c r="AM71" s="2"/>
    </row>
    <row r="72" spans="9:44" x14ac:dyDescent="0.3">
      <c r="Y72" s="2"/>
      <c r="AA72" s="25"/>
      <c r="AB72" s="25"/>
      <c r="AC72" s="25"/>
      <c r="AD72" s="25"/>
      <c r="AE72" s="25"/>
      <c r="AF72" s="28"/>
      <c r="AG72" s="25"/>
      <c r="AH72" s="25"/>
      <c r="AM72" s="2"/>
    </row>
    <row r="73" spans="9:44" x14ac:dyDescent="0.3">
      <c r="Y73" s="2"/>
      <c r="AA73" s="25"/>
      <c r="AB73" s="25"/>
      <c r="AC73" s="25"/>
      <c r="AD73" s="25"/>
      <c r="AE73" s="25"/>
      <c r="AF73" s="28"/>
      <c r="AG73" s="25"/>
      <c r="AH73" s="25"/>
      <c r="AM73" s="2"/>
    </row>
    <row r="74" spans="9:44" x14ac:dyDescent="0.3">
      <c r="Y74" s="2"/>
      <c r="AA74" s="25"/>
      <c r="AB74" s="25"/>
      <c r="AC74" s="25"/>
      <c r="AD74" s="25"/>
      <c r="AE74" s="25"/>
      <c r="AF74" s="28"/>
      <c r="AG74" s="25"/>
      <c r="AH74" s="25"/>
      <c r="AM74" s="2"/>
    </row>
    <row r="75" spans="9:44" x14ac:dyDescent="0.3">
      <c r="Y75" s="2"/>
      <c r="AA75" s="25"/>
      <c r="AB75" s="25"/>
      <c r="AC75" s="25"/>
      <c r="AD75" s="25"/>
      <c r="AE75" s="25"/>
      <c r="AF75" s="28"/>
      <c r="AG75" s="25"/>
      <c r="AH75" s="25"/>
      <c r="AM75" s="2"/>
    </row>
  </sheetData>
  <pageMargins left="0.7" right="0.7" top="0.75" bottom="0.75" header="0.3" footer="0.3"/>
  <drawing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2EAA-66AC-48D5-A466-A177FF213CB0}">
  <dimension ref="A1:CG89"/>
  <sheetViews>
    <sheetView tabSelected="1" zoomScale="27" workbookViewId="0">
      <selection activeCell="L27" sqref="L27"/>
    </sheetView>
  </sheetViews>
  <sheetFormatPr baseColWidth="10" defaultRowHeight="14.4" x14ac:dyDescent="0.3"/>
  <sheetData>
    <row r="1" spans="1:85" ht="18" x14ac:dyDescent="0.35">
      <c r="A1" s="45" t="s">
        <v>15</v>
      </c>
      <c r="P1" s="2"/>
      <c r="Q1" s="5" t="s">
        <v>44</v>
      </c>
      <c r="T1" s="1" t="s">
        <v>1</v>
      </c>
      <c r="U1" s="1"/>
      <c r="V1" s="1"/>
      <c r="W1" s="1"/>
      <c r="X1" s="1" t="s">
        <v>3</v>
      </c>
      <c r="Y1" s="1"/>
      <c r="Z1" s="1"/>
      <c r="AA1" s="1" t="s">
        <v>4</v>
      </c>
      <c r="AB1" s="1"/>
      <c r="AC1" s="1"/>
      <c r="AD1" s="1" t="s">
        <v>5</v>
      </c>
      <c r="AH1" s="2"/>
      <c r="AI1" s="1" t="s">
        <v>49</v>
      </c>
      <c r="AL1" s="46" t="s">
        <v>1</v>
      </c>
      <c r="AM1" s="46"/>
      <c r="AN1" s="46"/>
      <c r="AO1" s="46"/>
      <c r="AP1" s="46" t="s">
        <v>2</v>
      </c>
      <c r="AQ1" s="46"/>
      <c r="AR1" s="46" t="s">
        <v>3</v>
      </c>
      <c r="AS1" s="46"/>
      <c r="AT1" s="46"/>
      <c r="AU1" s="46" t="s">
        <v>4</v>
      </c>
      <c r="AV1" s="46"/>
      <c r="AW1" s="46"/>
      <c r="AX1" s="46" t="s">
        <v>5</v>
      </c>
      <c r="BG1" s="2"/>
      <c r="BO1" s="2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</row>
    <row r="2" spans="1:85" ht="36.6" x14ac:dyDescent="0.7">
      <c r="C2" s="1" t="s">
        <v>1</v>
      </c>
      <c r="G2" s="1" t="s">
        <v>3</v>
      </c>
      <c r="J2" s="1" t="s">
        <v>4</v>
      </c>
      <c r="M2" s="48" t="s">
        <v>5</v>
      </c>
      <c r="P2" s="2"/>
      <c r="T2" s="3">
        <v>45422</v>
      </c>
      <c r="U2" s="49">
        <v>45432</v>
      </c>
      <c r="V2" s="49">
        <v>45443</v>
      </c>
      <c r="W2" s="25"/>
      <c r="X2" s="49">
        <v>45427</v>
      </c>
      <c r="Y2" s="49">
        <v>45443</v>
      </c>
      <c r="Z2" s="25"/>
      <c r="AA2" s="49">
        <v>45427</v>
      </c>
      <c r="AB2" s="49">
        <v>45443</v>
      </c>
      <c r="AD2" s="3">
        <v>45427</v>
      </c>
      <c r="AE2" s="3">
        <v>45443</v>
      </c>
      <c r="AH2" s="2"/>
      <c r="AL2" s="3">
        <v>45565</v>
      </c>
      <c r="AM2" s="49">
        <v>45555</v>
      </c>
      <c r="AN2" s="49">
        <v>45545</v>
      </c>
      <c r="AO2" s="25"/>
      <c r="AP2" s="49">
        <v>45550</v>
      </c>
      <c r="AQ2" s="25"/>
      <c r="AR2" s="49">
        <v>45550</v>
      </c>
      <c r="AS2" s="49">
        <v>45565</v>
      </c>
      <c r="AT2" s="25"/>
      <c r="AU2" s="49">
        <v>45550</v>
      </c>
      <c r="AV2" s="49">
        <v>45565</v>
      </c>
      <c r="AX2" s="3">
        <v>45550</v>
      </c>
      <c r="AY2" s="49">
        <v>45565</v>
      </c>
      <c r="BG2" s="2"/>
      <c r="BI2" s="50" t="s">
        <v>101</v>
      </c>
      <c r="BO2" s="2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</row>
    <row r="3" spans="1:85" ht="31.2" x14ac:dyDescent="0.6">
      <c r="C3" s="51" t="s">
        <v>102</v>
      </c>
      <c r="D3" s="51" t="s">
        <v>103</v>
      </c>
      <c r="E3" s="51" t="s">
        <v>104</v>
      </c>
      <c r="F3" s="25"/>
      <c r="G3" s="49" t="s">
        <v>105</v>
      </c>
      <c r="H3" s="49" t="s">
        <v>104</v>
      </c>
      <c r="I3" s="25"/>
      <c r="J3" s="49" t="s">
        <v>105</v>
      </c>
      <c r="K3" s="49" t="s">
        <v>104</v>
      </c>
      <c r="L3" s="25"/>
      <c r="M3" s="49" t="s">
        <v>105</v>
      </c>
      <c r="N3" s="3" t="s">
        <v>104</v>
      </c>
      <c r="P3" s="2"/>
      <c r="R3" s="4" t="s">
        <v>14</v>
      </c>
      <c r="T3" s="4">
        <v>1476.75</v>
      </c>
      <c r="U3" s="4">
        <v>3241.56</v>
      </c>
      <c r="V3" s="4">
        <v>4303.99</v>
      </c>
      <c r="W3" s="25"/>
      <c r="X3" s="4">
        <v>3788.02</v>
      </c>
      <c r="Y3" s="4">
        <v>4650.75</v>
      </c>
      <c r="Z3" s="25"/>
      <c r="AA3" s="4">
        <v>321.02999999999997</v>
      </c>
      <c r="AB3" s="4">
        <v>1185.72</v>
      </c>
      <c r="AD3" s="4">
        <f>2262.62+21451.63+339.35</f>
        <v>24053.599999999999</v>
      </c>
      <c r="AE3" s="4">
        <f>434+752.67+2019.87+31736.99+703.89</f>
        <v>35647.42</v>
      </c>
      <c r="AH3" s="2"/>
      <c r="AJ3" s="4" t="s">
        <v>14</v>
      </c>
      <c r="AL3" s="4">
        <v>4537.6000000000004</v>
      </c>
      <c r="AM3" s="4">
        <v>4153.8100000000004</v>
      </c>
      <c r="AN3" s="4">
        <v>2167.75</v>
      </c>
      <c r="AO3" s="25"/>
      <c r="AP3" s="4">
        <v>1073</v>
      </c>
      <c r="AQ3" s="25"/>
      <c r="AR3" s="4">
        <v>3978.52</v>
      </c>
      <c r="AS3" s="4">
        <v>3805.17</v>
      </c>
      <c r="AT3" s="25"/>
      <c r="AU3" s="4">
        <f>422.89+65.98+35.31</f>
        <v>524.18000000000006</v>
      </c>
      <c r="AV3" s="4">
        <f>1533.96+73.19</f>
        <v>1607.15</v>
      </c>
      <c r="AX3" s="4">
        <f>39162.79+716.94</f>
        <v>39879.730000000003</v>
      </c>
      <c r="AY3" s="4">
        <f>33085.06+9158.26</f>
        <v>42243.32</v>
      </c>
      <c r="BG3" s="2"/>
      <c r="BL3" s="52">
        <f>X14+X33+X49+X65+AP68+AP49+AP32+F16+F33+F48+F63+AP14</f>
        <v>3745969.3108000001</v>
      </c>
      <c r="BM3" s="53" t="s">
        <v>69</v>
      </c>
      <c r="BO3" s="2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</row>
    <row r="4" spans="1:85" x14ac:dyDescent="0.3">
      <c r="A4" s="4" t="s">
        <v>14</v>
      </c>
      <c r="C4" s="4">
        <v>2561.66</v>
      </c>
      <c r="D4" s="4">
        <v>1342.94</v>
      </c>
      <c r="E4" s="4">
        <v>1122.8499999999999</v>
      </c>
      <c r="F4" s="25"/>
      <c r="G4" s="4">
        <v>5478.51</v>
      </c>
      <c r="H4" s="4">
        <v>7755.89</v>
      </c>
      <c r="I4" s="25"/>
      <c r="J4" s="4">
        <v>300.38</v>
      </c>
      <c r="K4" s="4">
        <f>345.84+386</f>
        <v>731.83999999999992</v>
      </c>
      <c r="L4" s="25"/>
      <c r="M4" s="4">
        <f>1088.28+24290.8+1429.24</f>
        <v>26808.32</v>
      </c>
      <c r="N4" s="4">
        <f>1523.55+31942.08+827.4</f>
        <v>34293.030000000006</v>
      </c>
      <c r="P4" s="2"/>
      <c r="R4" s="7" t="s">
        <v>18</v>
      </c>
      <c r="U4" s="25"/>
      <c r="V4" s="25"/>
      <c r="W4" s="25"/>
      <c r="X4" s="4">
        <v>13105.28</v>
      </c>
      <c r="Y4" s="4">
        <v>6547.33</v>
      </c>
      <c r="Z4" s="25"/>
      <c r="AA4" s="7"/>
      <c r="AB4" s="7"/>
      <c r="AD4" s="7">
        <f>100.84+95.84+72.96</f>
        <v>269.64</v>
      </c>
      <c r="AE4" s="7">
        <f>461.43+208.43</f>
        <v>669.86</v>
      </c>
      <c r="AH4" s="2"/>
      <c r="AJ4" s="7" t="s">
        <v>18</v>
      </c>
      <c r="AM4" s="25"/>
      <c r="AN4" s="7">
        <v>47.28</v>
      </c>
      <c r="AO4" s="25"/>
      <c r="AP4" s="25"/>
      <c r="AQ4" s="25"/>
      <c r="AR4" s="4">
        <v>2882.08</v>
      </c>
      <c r="AS4" s="4">
        <v>1966.38</v>
      </c>
      <c r="AT4" s="25"/>
      <c r="AU4" s="7"/>
      <c r="AV4" s="7">
        <v>109.02</v>
      </c>
      <c r="AX4" s="7">
        <f>763.7+28.65</f>
        <v>792.35</v>
      </c>
      <c r="AY4" s="7">
        <f>905.49+71.88+257.71</f>
        <v>1235.08</v>
      </c>
      <c r="BG4" s="2"/>
      <c r="BO4" s="2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</row>
    <row r="5" spans="1:85" x14ac:dyDescent="0.3">
      <c r="A5" s="7" t="s">
        <v>18</v>
      </c>
      <c r="D5" s="25"/>
      <c r="E5" s="25"/>
      <c r="F5" s="25"/>
      <c r="G5" s="4">
        <v>2491.94</v>
      </c>
      <c r="H5" s="4">
        <v>3186.97</v>
      </c>
      <c r="I5" s="25"/>
      <c r="J5" s="4">
        <v>4006.37</v>
      </c>
      <c r="K5" s="4">
        <v>5525.74</v>
      </c>
      <c r="L5" s="25"/>
      <c r="M5" s="7">
        <v>194.34</v>
      </c>
      <c r="N5" s="7">
        <f>204.07+69.65</f>
        <v>273.72000000000003</v>
      </c>
      <c r="P5" s="2"/>
      <c r="R5" s="19" t="s">
        <v>106</v>
      </c>
      <c r="U5" s="25"/>
      <c r="V5" s="25"/>
      <c r="W5" s="25"/>
      <c r="X5" s="4">
        <v>2986.88</v>
      </c>
      <c r="Y5" s="4">
        <v>2728.59</v>
      </c>
      <c r="Z5" s="25"/>
      <c r="AA5" s="25"/>
      <c r="AD5" s="19">
        <f>242.53</f>
        <v>242.53</v>
      </c>
      <c r="AE5" s="19">
        <f>438.16</f>
        <v>438.16</v>
      </c>
      <c r="AH5" s="2"/>
      <c r="AJ5" s="19" t="s">
        <v>106</v>
      </c>
      <c r="AM5" s="25"/>
      <c r="AN5" s="25"/>
      <c r="AO5" s="25"/>
      <c r="AP5" s="25"/>
      <c r="AQ5" s="25"/>
      <c r="AR5" s="4">
        <v>2910.92</v>
      </c>
      <c r="AS5" s="4">
        <v>3276.51</v>
      </c>
      <c r="AT5" s="25"/>
      <c r="AU5" s="25"/>
      <c r="AX5" s="19">
        <v>404.23</v>
      </c>
      <c r="AY5" s="19">
        <v>384.18</v>
      </c>
      <c r="BG5" s="2"/>
      <c r="BO5" s="2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</row>
    <row r="6" spans="1:85" ht="28.8" x14ac:dyDescent="0.55000000000000004">
      <c r="A6" s="19" t="s">
        <v>106</v>
      </c>
      <c r="D6" s="25"/>
      <c r="E6" s="25"/>
      <c r="F6" s="25"/>
      <c r="G6" s="25"/>
      <c r="H6" s="25"/>
      <c r="I6" s="25"/>
      <c r="L6" s="25"/>
      <c r="M6" s="19">
        <v>417.91</v>
      </c>
      <c r="N6" s="19">
        <v>582.4</v>
      </c>
      <c r="P6" s="2"/>
      <c r="U6" s="25"/>
      <c r="V6" s="25"/>
      <c r="W6" s="25"/>
      <c r="X6" s="25"/>
      <c r="Y6" s="25"/>
      <c r="Z6" s="25"/>
      <c r="AA6" s="25"/>
      <c r="AH6" s="2"/>
      <c r="AM6" s="25"/>
      <c r="AN6" s="25"/>
      <c r="AO6" s="25"/>
      <c r="AP6" s="25"/>
      <c r="AQ6" s="25"/>
      <c r="AR6" s="4">
        <v>1573.2</v>
      </c>
      <c r="AS6" s="4">
        <v>2147.9899999999998</v>
      </c>
      <c r="AT6" s="25"/>
      <c r="AU6" s="25"/>
      <c r="BG6" s="2"/>
      <c r="BI6" s="54" t="s">
        <v>107</v>
      </c>
      <c r="BJ6" s="54"/>
      <c r="BK6" s="54"/>
      <c r="BL6" s="16">
        <f>F12+F29+F44+F59+X61+X45+X29+AP29+AP46+AP65+AP10+X10</f>
        <v>3703262.4490000005</v>
      </c>
      <c r="BM6" s="55" t="s">
        <v>69</v>
      </c>
      <c r="BO6" s="2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</row>
    <row r="7" spans="1:85" ht="28.8" x14ac:dyDescent="0.55000000000000004">
      <c r="D7" s="25"/>
      <c r="E7" s="25"/>
      <c r="F7" s="25"/>
      <c r="G7" s="25"/>
      <c r="H7" s="25"/>
      <c r="I7" s="25"/>
      <c r="L7" s="25"/>
      <c r="M7" s="25"/>
      <c r="N7" s="25"/>
      <c r="O7" s="25"/>
      <c r="P7" s="2"/>
      <c r="AA7" s="25"/>
      <c r="AB7" s="25"/>
      <c r="AC7" s="25"/>
      <c r="AD7" s="25"/>
      <c r="AE7" s="25"/>
      <c r="AH7" s="2"/>
      <c r="AM7" s="25"/>
      <c r="AN7" s="25"/>
      <c r="AO7" s="25"/>
      <c r="AP7" s="25"/>
      <c r="AQ7" s="25"/>
      <c r="AR7" s="25"/>
      <c r="AS7" s="25"/>
      <c r="AT7" s="25"/>
      <c r="AU7" s="25"/>
      <c r="AV7" s="25"/>
      <c r="BG7" s="2"/>
      <c r="BI7" s="54" t="s">
        <v>108</v>
      </c>
      <c r="BJ7" s="54"/>
      <c r="BK7" s="54"/>
      <c r="BL7" s="16">
        <f>F13+F30+F45+F60+X62+X46+X30+X11+AP11+AP30+AP47+AP66</f>
        <v>34483.671000000002</v>
      </c>
      <c r="BM7" s="55" t="s">
        <v>69</v>
      </c>
      <c r="BO7" s="2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</row>
    <row r="8" spans="1:85" ht="28.8" x14ac:dyDescent="0.55000000000000004"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"/>
      <c r="R8" s="4" t="s">
        <v>23</v>
      </c>
      <c r="S8">
        <f>T3+U3+V3+X3+Y3+Y4+Y5+X5+X4+AA3+AB3+AD3+AE3</f>
        <v>104036.92</v>
      </c>
      <c r="T8" t="s">
        <v>24</v>
      </c>
      <c r="U8" s="25"/>
      <c r="V8" s="11" t="s">
        <v>25</v>
      </c>
      <c r="Z8" s="25"/>
      <c r="AA8" s="25"/>
      <c r="AB8" s="25"/>
      <c r="AC8" s="25"/>
      <c r="AD8" s="25"/>
      <c r="AE8" s="25"/>
      <c r="AH8" s="2"/>
      <c r="AJ8" s="4" t="s">
        <v>23</v>
      </c>
      <c r="AK8">
        <f>AL3+AM3+AN3+AP3+AR3+AR4+AR5+AR6+AS6+AS5+AS4+AS3+AU3+AV3+AX3+AY3</f>
        <v>118727.31000000003</v>
      </c>
      <c r="AL8" t="s">
        <v>24</v>
      </c>
      <c r="AN8" s="11" t="s">
        <v>25</v>
      </c>
      <c r="AR8" s="25"/>
      <c r="AS8" s="25"/>
      <c r="AT8" s="25"/>
      <c r="AU8" s="25"/>
      <c r="AV8" s="25"/>
      <c r="AW8" s="25"/>
      <c r="BG8" s="2"/>
      <c r="BI8" s="54" t="s">
        <v>109</v>
      </c>
      <c r="BJ8" s="54"/>
      <c r="BK8" s="54"/>
      <c r="BL8" s="15">
        <f>AP12+X12+F14+F31+X31+AP31+X47+X63+F61+F46</f>
        <v>8223.1908000000003</v>
      </c>
      <c r="BM8" s="55" t="s">
        <v>69</v>
      </c>
      <c r="BO8" s="2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</row>
    <row r="9" spans="1:85" x14ac:dyDescent="0.3">
      <c r="I9" s="25"/>
      <c r="J9" s="25"/>
      <c r="K9" s="25"/>
      <c r="L9" s="25"/>
      <c r="M9" s="25"/>
      <c r="N9" s="25"/>
      <c r="O9" s="25"/>
      <c r="P9" s="28"/>
      <c r="R9" s="7" t="s">
        <v>26</v>
      </c>
      <c r="S9">
        <f>AD4+AE4</f>
        <v>939.5</v>
      </c>
      <c r="T9" t="s">
        <v>24</v>
      </c>
      <c r="U9" s="25"/>
      <c r="Z9" s="25"/>
      <c r="AH9" s="2"/>
      <c r="AJ9" s="7" t="s">
        <v>26</v>
      </c>
      <c r="AK9">
        <f>AN4+AV4+AX4+AY4</f>
        <v>2183.73</v>
      </c>
      <c r="AL9" t="s">
        <v>24</v>
      </c>
      <c r="BG9" s="2"/>
      <c r="BO9" s="2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</row>
    <row r="10" spans="1:85" ht="18" x14ac:dyDescent="0.35">
      <c r="A10" s="4" t="s">
        <v>23</v>
      </c>
      <c r="B10" cm="1">
        <f t="array" ref="B10">Tableau3456[10-janv]+Tableau3456[20-janv]+Tableau3456[31-janv]+G4+H4+H5+G5+J4+K4+J5+K5+M4+N4</f>
        <v>95606.44</v>
      </c>
      <c r="C10" t="s">
        <v>24</v>
      </c>
      <c r="D10" s="11" t="s">
        <v>25</v>
      </c>
      <c r="P10" s="2"/>
      <c r="R10" s="19" t="s">
        <v>110</v>
      </c>
      <c r="S10">
        <f>AD5+AE5</f>
        <v>680.69</v>
      </c>
      <c r="W10" s="13" t="s">
        <v>14</v>
      </c>
      <c r="X10" s="14">
        <f>S8*3.1</f>
        <v>322514.45199999999</v>
      </c>
      <c r="Y10" s="13" t="s">
        <v>28</v>
      </c>
      <c r="AH10" s="2"/>
      <c r="AJ10" s="19" t="s">
        <v>110</v>
      </c>
      <c r="AK10">
        <f>AX5+AY5</f>
        <v>788.41000000000008</v>
      </c>
      <c r="AL10" t="s">
        <v>24</v>
      </c>
      <c r="AO10" s="13" t="s">
        <v>14</v>
      </c>
      <c r="AP10" s="14">
        <f>AK8*3.1</f>
        <v>368054.66100000008</v>
      </c>
      <c r="AQ10" s="13" t="s">
        <v>28</v>
      </c>
      <c r="BG10" s="2"/>
      <c r="BO10" s="2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</row>
    <row r="11" spans="1:85" x14ac:dyDescent="0.3">
      <c r="A11" s="7" t="s">
        <v>26</v>
      </c>
      <c r="B11">
        <f>M5+N5</f>
        <v>468.06000000000006</v>
      </c>
      <c r="C11" t="s">
        <v>24</v>
      </c>
      <c r="P11" s="2"/>
      <c r="W11" s="13" t="s">
        <v>18</v>
      </c>
      <c r="X11" s="14">
        <f>S9*2.7</f>
        <v>2536.65</v>
      </c>
      <c r="Y11" s="13" t="s">
        <v>28</v>
      </c>
      <c r="AH11" s="2"/>
      <c r="AO11" s="13" t="s">
        <v>18</v>
      </c>
      <c r="AP11" s="14">
        <f>AK9*2.7</f>
        <v>5896.0710000000008</v>
      </c>
      <c r="AQ11" s="13" t="s">
        <v>28</v>
      </c>
      <c r="BG11" s="2"/>
      <c r="BO11" s="2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</row>
    <row r="12" spans="1:85" x14ac:dyDescent="0.3">
      <c r="A12" s="19" t="s">
        <v>110</v>
      </c>
      <c r="B12">
        <f>M6+N6</f>
        <v>1000.31</v>
      </c>
      <c r="C12" t="s">
        <v>24</v>
      </c>
      <c r="E12" s="13" t="s">
        <v>14</v>
      </c>
      <c r="F12" s="14">
        <f>B10*3.1</f>
        <v>296379.96400000004</v>
      </c>
      <c r="G12" s="13" t="s">
        <v>28</v>
      </c>
      <c r="P12" s="2"/>
      <c r="W12" s="13" t="s">
        <v>111</v>
      </c>
      <c r="X12" s="13">
        <f>S10*1.11</f>
        <v>755.56590000000017</v>
      </c>
      <c r="Y12" s="13" t="s">
        <v>28</v>
      </c>
      <c r="AH12" s="2"/>
      <c r="AO12" s="13" t="s">
        <v>111</v>
      </c>
      <c r="AP12" s="13">
        <f>AK10*1.11</f>
        <v>875.13510000000019</v>
      </c>
      <c r="AQ12" s="13" t="s">
        <v>28</v>
      </c>
      <c r="BG12" s="2"/>
      <c r="BO12" s="2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</row>
    <row r="13" spans="1:85" x14ac:dyDescent="0.3">
      <c r="E13" s="13" t="s">
        <v>18</v>
      </c>
      <c r="F13" s="14">
        <f>B11*2.7</f>
        <v>1263.7620000000002</v>
      </c>
      <c r="G13" s="13" t="s">
        <v>28</v>
      </c>
      <c r="P13" s="2"/>
      <c r="W13" s="13"/>
      <c r="X13" s="14"/>
      <c r="Y13" s="13"/>
      <c r="AH13" s="2"/>
      <c r="AO13" s="13"/>
      <c r="AP13" s="14"/>
      <c r="AQ13" s="13"/>
      <c r="BG13" s="2"/>
      <c r="BO13" s="2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</row>
    <row r="14" spans="1:85" ht="15.6" x14ac:dyDescent="0.3">
      <c r="E14" s="13" t="s">
        <v>111</v>
      </c>
      <c r="F14" s="13">
        <f>B12*1.11</f>
        <v>1110.3441</v>
      </c>
      <c r="G14" s="13"/>
      <c r="P14" s="2"/>
      <c r="W14" s="20" t="s">
        <v>4</v>
      </c>
      <c r="X14" s="21">
        <f>X11+X12+X10</f>
        <v>325806.6679</v>
      </c>
      <c r="Y14" s="20" t="s">
        <v>28</v>
      </c>
      <c r="AH14" s="2"/>
      <c r="AO14" s="20" t="s">
        <v>4</v>
      </c>
      <c r="AP14" s="21">
        <f>AP11+AP12+AP10</f>
        <v>374825.86710000009</v>
      </c>
      <c r="AQ14" s="20" t="s">
        <v>28</v>
      </c>
      <c r="BG14" s="2"/>
      <c r="BO14" s="2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</row>
    <row r="15" spans="1:85" x14ac:dyDescent="0.3">
      <c r="E15" s="13"/>
      <c r="F15" s="14"/>
      <c r="G15" s="13"/>
      <c r="P15" s="2"/>
      <c r="AH15" s="2"/>
      <c r="BG15" s="2"/>
      <c r="BO15" s="2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</row>
    <row r="16" spans="1:85" ht="15.6" x14ac:dyDescent="0.3">
      <c r="E16" s="20" t="s">
        <v>4</v>
      </c>
      <c r="F16" s="21">
        <f>F13+F14+F12</f>
        <v>298754.07010000001</v>
      </c>
      <c r="G16" s="20" t="s">
        <v>28</v>
      </c>
      <c r="P16" s="2"/>
      <c r="AH16" s="2"/>
      <c r="BG16" s="2"/>
      <c r="BO16" s="2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</row>
    <row r="17" spans="1:85" x14ac:dyDescent="0.3">
      <c r="P17" s="2"/>
      <c r="AH17" s="2"/>
      <c r="BG17" s="2"/>
      <c r="BO17" s="2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</row>
    <row r="18" spans="1:85" x14ac:dyDescent="0.3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7"/>
      <c r="BH18" s="56"/>
      <c r="BI18" s="56"/>
      <c r="BJ18" s="56"/>
      <c r="BK18" s="56"/>
      <c r="BL18" s="56"/>
      <c r="BM18" s="56"/>
      <c r="BN18" s="56"/>
      <c r="BO18" s="5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</row>
    <row r="19" spans="1:85" ht="18" x14ac:dyDescent="0.35">
      <c r="A19" s="45" t="s">
        <v>43</v>
      </c>
      <c r="P19" s="2"/>
      <c r="Q19" s="5" t="s">
        <v>48</v>
      </c>
      <c r="T19" s="1" t="s">
        <v>1</v>
      </c>
      <c r="U19" s="1"/>
      <c r="V19" s="1"/>
      <c r="W19" s="1"/>
      <c r="X19" s="1" t="s">
        <v>3</v>
      </c>
      <c r="Y19" s="1"/>
      <c r="Z19" s="1"/>
      <c r="AA19" s="1"/>
      <c r="AB19" s="1" t="s">
        <v>4</v>
      </c>
      <c r="AC19" s="1"/>
      <c r="AD19" s="1"/>
      <c r="AE19" s="1" t="s">
        <v>5</v>
      </c>
      <c r="AH19" s="2"/>
      <c r="AI19" s="1" t="s">
        <v>0</v>
      </c>
      <c r="AL19" t="s">
        <v>1</v>
      </c>
      <c r="AP19" t="s">
        <v>2</v>
      </c>
      <c r="AR19" t="s">
        <v>3</v>
      </c>
      <c r="AT19" t="s">
        <v>4</v>
      </c>
      <c r="AV19" t="s">
        <v>5</v>
      </c>
      <c r="BG19" s="2"/>
      <c r="BO19" s="2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</row>
    <row r="20" spans="1:85" ht="15.6" x14ac:dyDescent="0.3">
      <c r="C20" s="1" t="s">
        <v>1</v>
      </c>
      <c r="G20" s="1" t="s">
        <v>3</v>
      </c>
      <c r="J20" s="1" t="s">
        <v>4</v>
      </c>
      <c r="M20" s="1" t="s">
        <v>5</v>
      </c>
      <c r="P20" s="2"/>
      <c r="T20" s="3">
        <v>45453</v>
      </c>
      <c r="U20" s="49">
        <v>45463</v>
      </c>
      <c r="V20" s="49">
        <v>45473</v>
      </c>
      <c r="W20" s="25"/>
      <c r="X20" s="49">
        <v>45448</v>
      </c>
      <c r="Y20" s="49">
        <v>45458</v>
      </c>
      <c r="Z20" s="49">
        <v>45473</v>
      </c>
      <c r="AB20" s="49">
        <v>45458</v>
      </c>
      <c r="AC20" s="49">
        <v>45473</v>
      </c>
      <c r="AE20" s="3">
        <v>45458</v>
      </c>
      <c r="AF20" s="3">
        <v>45473</v>
      </c>
      <c r="AH20" s="2"/>
      <c r="AL20" s="3" t="s">
        <v>6</v>
      </c>
      <c r="AM20" s="3" t="s">
        <v>7</v>
      </c>
      <c r="AN20" s="3" t="s">
        <v>8</v>
      </c>
      <c r="AP20" s="3" t="s">
        <v>9</v>
      </c>
      <c r="AR20" s="3" t="s">
        <v>9</v>
      </c>
      <c r="AT20" s="3" t="s">
        <v>10</v>
      </c>
      <c r="AV20" s="3" t="s">
        <v>11</v>
      </c>
      <c r="AW20" s="3" t="s">
        <v>12</v>
      </c>
      <c r="AX20" s="3" t="s">
        <v>13</v>
      </c>
      <c r="AY20" s="3" t="s">
        <v>10</v>
      </c>
      <c r="BG20" s="2"/>
      <c r="BO20" s="2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</row>
    <row r="21" spans="1:85" x14ac:dyDescent="0.3">
      <c r="C21" s="3" t="s">
        <v>112</v>
      </c>
      <c r="D21" s="49" t="s">
        <v>113</v>
      </c>
      <c r="E21" s="49" t="s">
        <v>114</v>
      </c>
      <c r="F21" s="25"/>
      <c r="G21" s="49" t="s">
        <v>115</v>
      </c>
      <c r="H21" s="49" t="s">
        <v>114</v>
      </c>
      <c r="I21" s="25"/>
      <c r="J21" s="49" t="s">
        <v>115</v>
      </c>
      <c r="K21" s="49" t="s">
        <v>114</v>
      </c>
      <c r="L21" s="25"/>
      <c r="M21" s="49" t="s">
        <v>115</v>
      </c>
      <c r="N21" s="49" t="s">
        <v>114</v>
      </c>
      <c r="P21" s="2"/>
      <c r="R21" s="4" t="s">
        <v>14</v>
      </c>
      <c r="T21" s="4">
        <v>2221.8200000000002</v>
      </c>
      <c r="U21" s="4">
        <v>1547.07</v>
      </c>
      <c r="V21" s="4">
        <v>2734.56</v>
      </c>
      <c r="W21" s="25"/>
      <c r="X21" s="4">
        <v>128.36000000000001</v>
      </c>
      <c r="Y21" s="4">
        <v>426.44</v>
      </c>
      <c r="Z21" s="4">
        <v>428.2</v>
      </c>
      <c r="AB21" s="4">
        <f>1768.15+1096</f>
        <v>2864.15</v>
      </c>
      <c r="AC21" s="4">
        <f>813.32+95.49</f>
        <v>908.81000000000006</v>
      </c>
      <c r="AE21" s="4">
        <f>1078.37+33415.31+1005.13</f>
        <v>35498.81</v>
      </c>
      <c r="AF21" s="4">
        <f>346.57+29528.95+768.11</f>
        <v>30643.63</v>
      </c>
      <c r="AH21" s="2"/>
      <c r="AJ21" s="4" t="s">
        <v>14</v>
      </c>
      <c r="AL21" s="4">
        <v>4217.53</v>
      </c>
      <c r="AM21" s="4">
        <v>5310.44</v>
      </c>
      <c r="AN21" s="4">
        <v>1546.57</v>
      </c>
      <c r="AP21" s="4">
        <v>1921.18</v>
      </c>
      <c r="AR21">
        <v>2659.51</v>
      </c>
      <c r="AT21">
        <v>368.43</v>
      </c>
      <c r="AV21" s="4">
        <f>21628.37+20.1</f>
        <v>21648.469999999998</v>
      </c>
      <c r="AW21" s="4">
        <f>20811.17+1003.43</f>
        <v>21814.6</v>
      </c>
      <c r="AX21" s="4">
        <v>23045.99</v>
      </c>
      <c r="AY21" s="4">
        <v>8588.52</v>
      </c>
      <c r="BG21" s="2"/>
      <c r="BO21" s="2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</row>
    <row r="22" spans="1:85" x14ac:dyDescent="0.3">
      <c r="A22" s="4" t="s">
        <v>14</v>
      </c>
      <c r="C22" s="4">
        <v>1687.43</v>
      </c>
      <c r="D22" s="4">
        <v>764.14</v>
      </c>
      <c r="E22" s="4">
        <v>1108.18</v>
      </c>
      <c r="F22" s="25"/>
      <c r="G22" s="4">
        <f>5396.72+155</f>
        <v>5551.72</v>
      </c>
      <c r="H22" s="4">
        <v>2394.19</v>
      </c>
      <c r="I22" s="25"/>
      <c r="J22" s="4">
        <v>146.94</v>
      </c>
      <c r="K22" s="4">
        <v>1565.6</v>
      </c>
      <c r="L22" s="25"/>
      <c r="M22" s="4">
        <f>1199.25+39594.83+1493.04</f>
        <v>42287.12</v>
      </c>
      <c r="N22" s="4">
        <f>627.4+16640.38+966.55</f>
        <v>18234.330000000002</v>
      </c>
      <c r="P22" s="2"/>
      <c r="R22" s="7" t="s">
        <v>18</v>
      </c>
      <c r="U22" s="25"/>
      <c r="V22" s="25"/>
      <c r="W22" s="25"/>
      <c r="X22" s="4"/>
      <c r="Y22" s="4">
        <v>4006.11</v>
      </c>
      <c r="Z22" s="4">
        <v>3280.97</v>
      </c>
      <c r="AB22" s="7"/>
      <c r="AC22" s="7"/>
      <c r="AE22" s="7">
        <v>133.99</v>
      </c>
      <c r="AF22" s="7">
        <f>193.94+183.3+45.51</f>
        <v>422.75</v>
      </c>
      <c r="AH22" s="2"/>
      <c r="AJ22" s="7" t="s">
        <v>18</v>
      </c>
      <c r="AM22" s="7">
        <v>33.35</v>
      </c>
      <c r="AR22">
        <v>2635.27</v>
      </c>
      <c r="AT22">
        <v>38.369999999999997</v>
      </c>
      <c r="AV22" s="7">
        <v>267.25</v>
      </c>
      <c r="AW22" s="7">
        <v>499.31</v>
      </c>
      <c r="AX22" s="7">
        <v>481.31</v>
      </c>
      <c r="AY22" s="4">
        <v>47.85</v>
      </c>
      <c r="BG22" s="2"/>
      <c r="BO22" s="2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</row>
    <row r="23" spans="1:85" x14ac:dyDescent="0.3">
      <c r="A23" s="7" t="s">
        <v>18</v>
      </c>
      <c r="D23" s="25"/>
      <c r="E23" s="25"/>
      <c r="F23" s="25"/>
      <c r="G23" s="4">
        <v>1764.54</v>
      </c>
      <c r="H23" s="4">
        <v>865.57</v>
      </c>
      <c r="I23" s="25"/>
      <c r="J23" s="4">
        <v>3367.97</v>
      </c>
      <c r="K23" s="4">
        <v>2037.47</v>
      </c>
      <c r="L23" s="25"/>
      <c r="M23" s="7">
        <v>259.86</v>
      </c>
      <c r="N23" s="7">
        <v>33.35</v>
      </c>
      <c r="P23" s="2"/>
      <c r="R23" s="19" t="s">
        <v>106</v>
      </c>
      <c r="U23" s="25"/>
      <c r="V23" s="25"/>
      <c r="W23" s="25"/>
      <c r="X23" s="4"/>
      <c r="Y23" s="4">
        <v>7468.88</v>
      </c>
      <c r="Z23" s="4">
        <v>5440.73</v>
      </c>
      <c r="AB23" s="25"/>
      <c r="AE23" s="19">
        <v>556.41</v>
      </c>
      <c r="AF23" s="19">
        <v>377.93</v>
      </c>
      <c r="AH23" s="2"/>
      <c r="AR23">
        <v>1183.1300000000001</v>
      </c>
      <c r="AT23" s="4">
        <f>SUM(AT21:AT22)</f>
        <v>406.8</v>
      </c>
      <c r="AW23" s="7">
        <v>126.39</v>
      </c>
      <c r="AX23" s="7">
        <v>34.83</v>
      </c>
      <c r="AY23" s="7">
        <f>164.42+259.13</f>
        <v>423.54999999999995</v>
      </c>
      <c r="BG23" s="2"/>
      <c r="BO23" s="2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</row>
    <row r="24" spans="1:85" x14ac:dyDescent="0.3">
      <c r="A24" s="19" t="s">
        <v>106</v>
      </c>
      <c r="D24" s="25"/>
      <c r="E24" s="25"/>
      <c r="F24" s="25"/>
      <c r="I24" s="25"/>
      <c r="J24" s="25"/>
      <c r="K24" s="25"/>
      <c r="L24" s="25"/>
      <c r="M24" s="19">
        <v>370.46</v>
      </c>
      <c r="N24" s="19">
        <v>533.20000000000005</v>
      </c>
      <c r="P24" s="2"/>
      <c r="U24" s="25"/>
      <c r="V24" s="25"/>
      <c r="W24" s="25"/>
      <c r="X24" s="4"/>
      <c r="Y24" s="4">
        <v>2813.33</v>
      </c>
      <c r="Z24" s="4">
        <v>3259.63</v>
      </c>
      <c r="AB24" s="25"/>
      <c r="AH24" s="2"/>
      <c r="AR24">
        <v>2698.63</v>
      </c>
      <c r="BG24" s="2"/>
      <c r="BO24" s="2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</row>
    <row r="25" spans="1:85" x14ac:dyDescent="0.3"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P25" s="2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H25" s="2"/>
      <c r="AR25" s="4">
        <f>SUM(Tableau5[16-oct])</f>
        <v>9176.5400000000009</v>
      </c>
      <c r="BG25" s="2"/>
      <c r="BO25" s="2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</row>
    <row r="26" spans="1:85" x14ac:dyDescent="0.3"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P26" s="2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H26" s="2"/>
      <c r="BG26" s="2"/>
      <c r="BO26" s="2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</row>
    <row r="27" spans="1:85" ht="18" x14ac:dyDescent="0.35">
      <c r="A27" s="4" t="s">
        <v>23</v>
      </c>
      <c r="B27">
        <f>C22+D22+E22++G22+G23+H23+H22+J22+J23+K23+K22+M22+N22</f>
        <v>81775.200000000012</v>
      </c>
      <c r="C27" t="s">
        <v>24</v>
      </c>
      <c r="D27" s="11" t="s">
        <v>25</v>
      </c>
      <c r="H27" s="25"/>
      <c r="I27" s="25"/>
      <c r="J27" s="25"/>
      <c r="K27" s="25"/>
      <c r="L27" s="25"/>
      <c r="M27" s="25"/>
      <c r="N27" s="25"/>
      <c r="P27" s="2"/>
      <c r="R27" s="4" t="s">
        <v>23</v>
      </c>
      <c r="S27">
        <f>T21+U21+V21+X21+Y21+Y22+Y23+Y24+Z24+Z23+Z22+Z21+AB21+AC21+AE21+AF21</f>
        <v>103671.5</v>
      </c>
      <c r="T27" t="s">
        <v>24</v>
      </c>
      <c r="V27" s="11" t="s">
        <v>25</v>
      </c>
      <c r="AH27" s="2"/>
      <c r="AJ27" s="4" t="s">
        <v>23</v>
      </c>
      <c r="AK27" cm="1">
        <f t="array" ref="AK27">AL21+AM21+AN21+Tableau8[16-oct]+Tableau5[[#Totals],[16-oct]]+AT23+AV21+AW21+AX21+AY21+AY22</f>
        <v>97724.49000000002</v>
      </c>
      <c r="AL27" t="s">
        <v>24</v>
      </c>
      <c r="AN27" s="11" t="s">
        <v>25</v>
      </c>
      <c r="BG27" s="2"/>
      <c r="BO27" s="2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</row>
    <row r="28" spans="1:85" x14ac:dyDescent="0.3">
      <c r="A28" s="7" t="s">
        <v>26</v>
      </c>
      <c r="B28">
        <f>M23+N23</f>
        <v>293.21000000000004</v>
      </c>
      <c r="C28" t="s">
        <v>24</v>
      </c>
      <c r="P28" s="2"/>
      <c r="R28" s="7" t="s">
        <v>26</v>
      </c>
      <c r="S28">
        <f>AE22+AF22</f>
        <v>556.74</v>
      </c>
      <c r="T28" t="s">
        <v>24</v>
      </c>
      <c r="AH28" s="2"/>
      <c r="AJ28" s="7" t="s">
        <v>26</v>
      </c>
      <c r="AK28">
        <f>AM22+AV22+AW22+AW23+AX22+AX23+AY23</f>
        <v>1865.99</v>
      </c>
      <c r="AL28" t="s">
        <v>24</v>
      </c>
      <c r="BG28" s="2"/>
      <c r="BO28" s="2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</row>
    <row r="29" spans="1:85" x14ac:dyDescent="0.3">
      <c r="A29" s="19" t="s">
        <v>110</v>
      </c>
      <c r="B29">
        <f>M24+N24</f>
        <v>903.66000000000008</v>
      </c>
      <c r="E29" s="13" t="s">
        <v>14</v>
      </c>
      <c r="F29" s="14">
        <f>B27*3.1</f>
        <v>253503.12000000005</v>
      </c>
      <c r="G29" s="13" t="s">
        <v>28</v>
      </c>
      <c r="P29" s="2"/>
      <c r="R29" s="19" t="s">
        <v>110</v>
      </c>
      <c r="S29">
        <f>AE23+AF23</f>
        <v>934.33999999999992</v>
      </c>
      <c r="T29" t="s">
        <v>24</v>
      </c>
      <c r="W29" s="13" t="s">
        <v>14</v>
      </c>
      <c r="X29" s="14">
        <f>S27*3.1</f>
        <v>321381.65000000002</v>
      </c>
      <c r="Y29" s="13" t="s">
        <v>28</v>
      </c>
      <c r="AH29" s="2"/>
      <c r="AO29" s="13" t="s">
        <v>14</v>
      </c>
      <c r="AP29" s="14">
        <f>AK27*3.1</f>
        <v>302945.91900000005</v>
      </c>
      <c r="AQ29" s="13" t="s">
        <v>28</v>
      </c>
      <c r="BG29" s="2"/>
      <c r="BO29" s="2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</row>
    <row r="30" spans="1:85" x14ac:dyDescent="0.3">
      <c r="E30" s="13" t="s">
        <v>18</v>
      </c>
      <c r="F30" s="14">
        <f>B28*2.7</f>
        <v>791.66700000000014</v>
      </c>
      <c r="G30" s="13" t="s">
        <v>28</v>
      </c>
      <c r="P30" s="2"/>
      <c r="W30" s="13" t="s">
        <v>18</v>
      </c>
      <c r="X30" s="14">
        <f>S28*2.7</f>
        <v>1503.1980000000001</v>
      </c>
      <c r="Y30" s="13" t="s">
        <v>28</v>
      </c>
      <c r="AH30" s="2"/>
      <c r="AO30" s="13" t="s">
        <v>18</v>
      </c>
      <c r="AP30" s="14">
        <f>AK28*2.7</f>
        <v>5038.1730000000007</v>
      </c>
      <c r="AQ30" s="13" t="s">
        <v>28</v>
      </c>
      <c r="BG30" s="2"/>
      <c r="BO30" s="2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</row>
    <row r="31" spans="1:85" x14ac:dyDescent="0.3">
      <c r="E31" s="13" t="s">
        <v>111</v>
      </c>
      <c r="F31" s="13">
        <f>B29*1.11</f>
        <v>1003.0626000000002</v>
      </c>
      <c r="G31" s="13"/>
      <c r="P31" s="2"/>
      <c r="W31" s="13" t="s">
        <v>111</v>
      </c>
      <c r="X31" s="13">
        <f>S29*1.11</f>
        <v>1037.1174000000001</v>
      </c>
      <c r="Y31" s="13" t="s">
        <v>28</v>
      </c>
      <c r="AH31" s="2"/>
      <c r="AO31" s="13" t="s">
        <v>111</v>
      </c>
      <c r="AP31" s="13">
        <v>0</v>
      </c>
      <c r="AQ31" s="13" t="s">
        <v>28</v>
      </c>
      <c r="BG31" s="2"/>
      <c r="BO31" s="2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</row>
    <row r="32" spans="1:85" ht="15.6" x14ac:dyDescent="0.3">
      <c r="E32" s="13"/>
      <c r="F32" s="14"/>
      <c r="G32" s="13"/>
      <c r="P32" s="2"/>
      <c r="W32" s="13"/>
      <c r="X32" s="14"/>
      <c r="Y32" s="13"/>
      <c r="AH32" s="2"/>
      <c r="AO32" s="20" t="s">
        <v>4</v>
      </c>
      <c r="AP32" s="21">
        <f>AP29+AP30</f>
        <v>307984.09200000006</v>
      </c>
      <c r="AQ32" s="20" t="s">
        <v>28</v>
      </c>
      <c r="BG32" s="2"/>
      <c r="BO32" s="2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</row>
    <row r="33" spans="1:85" ht="15.6" x14ac:dyDescent="0.3">
      <c r="E33" s="20" t="s">
        <v>4</v>
      </c>
      <c r="F33" s="21">
        <f>F30+F31+F29</f>
        <v>255297.84960000005</v>
      </c>
      <c r="G33" s="20" t="s">
        <v>28</v>
      </c>
      <c r="P33" s="2"/>
      <c r="W33" s="20" t="s">
        <v>4</v>
      </c>
      <c r="X33" s="21">
        <f>X30+X31+X29</f>
        <v>323921.96540000004</v>
      </c>
      <c r="Y33" s="20" t="s">
        <v>28</v>
      </c>
      <c r="AH33" s="2"/>
      <c r="BG33" s="2"/>
      <c r="BO33" s="2"/>
      <c r="BP33" s="58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</row>
    <row r="34" spans="1:85" x14ac:dyDescent="0.3">
      <c r="P34" s="2"/>
      <c r="AH34" s="2"/>
      <c r="BG34" s="2"/>
      <c r="BO34" s="2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</row>
    <row r="35" spans="1:8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47"/>
      <c r="CE35" s="47"/>
      <c r="CF35" s="47"/>
      <c r="CG35" s="47"/>
    </row>
    <row r="36" spans="1:85" ht="18" x14ac:dyDescent="0.35">
      <c r="A36" s="5" t="s">
        <v>47</v>
      </c>
      <c r="C36" s="1" t="s">
        <v>1</v>
      </c>
      <c r="D36" s="1"/>
      <c r="E36" s="1"/>
      <c r="F36" s="1"/>
      <c r="G36" s="1" t="s">
        <v>3</v>
      </c>
      <c r="H36" s="1"/>
      <c r="I36" s="1"/>
      <c r="J36" s="1" t="s">
        <v>4</v>
      </c>
      <c r="K36" s="1"/>
      <c r="L36" s="1"/>
      <c r="M36" s="1" t="s">
        <v>5</v>
      </c>
      <c r="P36" s="2"/>
      <c r="Q36" s="5" t="s">
        <v>17</v>
      </c>
      <c r="T36" s="1" t="s">
        <v>1</v>
      </c>
      <c r="U36" s="1"/>
      <c r="V36" s="1"/>
      <c r="W36" s="1"/>
      <c r="X36" s="1" t="s">
        <v>3</v>
      </c>
      <c r="Y36" s="1"/>
      <c r="Z36" s="1"/>
      <c r="AA36" s="1" t="s">
        <v>4</v>
      </c>
      <c r="AB36" s="1"/>
      <c r="AC36" s="1"/>
      <c r="AD36" s="1" t="s">
        <v>5</v>
      </c>
      <c r="AE36" s="1"/>
      <c r="AH36" s="2"/>
      <c r="AI36" s="1" t="s">
        <v>34</v>
      </c>
      <c r="AN36" s="1" t="s">
        <v>1</v>
      </c>
      <c r="AO36" s="1"/>
      <c r="AP36" s="1"/>
      <c r="AQ36" s="1"/>
      <c r="AR36" s="1" t="s">
        <v>5</v>
      </c>
      <c r="AS36" s="1"/>
      <c r="AT36" s="1"/>
      <c r="AU36" s="1"/>
      <c r="AV36" s="1"/>
      <c r="AW36" s="1" t="s">
        <v>3</v>
      </c>
      <c r="AX36" s="1"/>
      <c r="AY36" s="1"/>
      <c r="AZ36" s="1" t="s">
        <v>4</v>
      </c>
      <c r="BA36" s="1"/>
      <c r="BB36" s="1"/>
      <c r="BC36" s="1"/>
      <c r="BD36" s="1" t="s">
        <v>2</v>
      </c>
      <c r="BG36" s="2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8"/>
      <c r="CD36" s="47"/>
      <c r="CE36" s="47"/>
      <c r="CF36" s="47"/>
      <c r="CG36" s="47"/>
    </row>
    <row r="37" spans="1:85" x14ac:dyDescent="0.3">
      <c r="C37" s="3">
        <v>45361</v>
      </c>
      <c r="D37" s="49">
        <v>45371</v>
      </c>
      <c r="E37" s="49">
        <v>45382</v>
      </c>
      <c r="F37" s="25"/>
      <c r="G37" s="3">
        <v>45366</v>
      </c>
      <c r="H37" s="49">
        <v>45382</v>
      </c>
      <c r="I37" s="25"/>
      <c r="J37" s="49">
        <v>45366</v>
      </c>
      <c r="K37" s="3">
        <v>45382</v>
      </c>
      <c r="M37" s="3">
        <v>45366</v>
      </c>
      <c r="N37" s="3">
        <v>45382</v>
      </c>
      <c r="P37" s="2"/>
      <c r="T37" s="3">
        <v>45483</v>
      </c>
      <c r="U37" s="49">
        <v>45493</v>
      </c>
      <c r="V37" s="49">
        <v>45504</v>
      </c>
      <c r="W37" s="25"/>
      <c r="X37" s="49">
        <v>45488</v>
      </c>
      <c r="Y37" s="49">
        <v>45504</v>
      </c>
      <c r="Z37" s="25"/>
      <c r="AA37" s="49">
        <v>45458</v>
      </c>
      <c r="AB37" s="49">
        <v>45504</v>
      </c>
      <c r="AD37" s="3">
        <v>45488</v>
      </c>
      <c r="AE37" s="3">
        <v>45504</v>
      </c>
      <c r="AH37" s="2"/>
      <c r="AN37" s="3" t="s">
        <v>35</v>
      </c>
      <c r="AO37" s="3" t="s">
        <v>36</v>
      </c>
      <c r="AP37" s="3" t="s">
        <v>37</v>
      </c>
      <c r="AR37" s="3" t="s">
        <v>38</v>
      </c>
      <c r="AS37" s="3" t="s">
        <v>39</v>
      </c>
      <c r="AT37" s="3" t="s">
        <v>40</v>
      </c>
      <c r="AU37" s="3" t="s">
        <v>37</v>
      </c>
      <c r="AW37" s="3" t="s">
        <v>41</v>
      </c>
      <c r="AX37" s="3" t="s">
        <v>42</v>
      </c>
      <c r="AZ37" s="3" t="s">
        <v>38</v>
      </c>
      <c r="BA37" s="3" t="s">
        <v>39</v>
      </c>
      <c r="BB37" s="3" t="s">
        <v>37</v>
      </c>
      <c r="BD37" s="3" t="s">
        <v>41</v>
      </c>
      <c r="BE37" s="3" t="s">
        <v>42</v>
      </c>
      <c r="BG37" s="2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8"/>
      <c r="CD37" s="47"/>
      <c r="CE37" s="47"/>
      <c r="CF37" s="47"/>
      <c r="CG37" s="47"/>
    </row>
    <row r="38" spans="1:85" x14ac:dyDescent="0.3">
      <c r="A38" s="4" t="s">
        <v>14</v>
      </c>
      <c r="C38" s="4">
        <v>938.21</v>
      </c>
      <c r="D38" s="4">
        <v>148.59</v>
      </c>
      <c r="E38" s="4">
        <v>618.72</v>
      </c>
      <c r="F38" s="25"/>
      <c r="G38" s="4">
        <v>4604.47</v>
      </c>
      <c r="H38" s="4">
        <v>5643.34</v>
      </c>
      <c r="I38" s="25"/>
      <c r="J38" s="4">
        <f>982.18</f>
        <v>982.18</v>
      </c>
      <c r="K38" s="4">
        <v>469.06</v>
      </c>
      <c r="M38" s="4">
        <f>1464.34+32814.96+1047.6</f>
        <v>35326.899999999994</v>
      </c>
      <c r="N38" s="4">
        <v>38002.07</v>
      </c>
      <c r="P38" s="2"/>
      <c r="R38" s="4" t="s">
        <v>14</v>
      </c>
      <c r="T38" s="4">
        <v>1924.5</v>
      </c>
      <c r="U38" s="4">
        <v>1454.43</v>
      </c>
      <c r="V38" s="4">
        <v>936.43</v>
      </c>
      <c r="W38" s="25"/>
      <c r="X38" s="4">
        <v>213.64</v>
      </c>
      <c r="Y38" s="4">
        <v>200</v>
      </c>
      <c r="Z38" s="25"/>
      <c r="AA38" s="4">
        <v>930.01</v>
      </c>
      <c r="AB38" s="4">
        <v>807.1</v>
      </c>
      <c r="AD38" s="4">
        <f>1816.33+19215.9+185</f>
        <v>21217.230000000003</v>
      </c>
      <c r="AE38" s="4">
        <f>1061.88+742.45+15448.33+1074.99</f>
        <v>18327.650000000001</v>
      </c>
      <c r="AH38" s="2"/>
      <c r="AJ38" s="4" t="s">
        <v>14</v>
      </c>
      <c r="AN38" s="4">
        <v>1964.04</v>
      </c>
      <c r="AO38" s="4">
        <v>1759.19</v>
      </c>
      <c r="AP38" s="4">
        <v>3514.13</v>
      </c>
      <c r="AR38" s="4">
        <v>19095.580000000002</v>
      </c>
      <c r="AS38" s="4">
        <f>27368.17+255+37900</f>
        <v>65523.17</v>
      </c>
      <c r="AT38" s="4">
        <f>34349.92</f>
        <v>34349.919999999998</v>
      </c>
      <c r="AU38" s="4">
        <f>22393.37+774.99</f>
        <v>23168.36</v>
      </c>
      <c r="AW38">
        <v>2425.73</v>
      </c>
      <c r="AX38">
        <v>1708.72</v>
      </c>
      <c r="AZ38">
        <v>1574.93</v>
      </c>
      <c r="BA38">
        <v>1037.51</v>
      </c>
      <c r="BB38">
        <v>1405.24</v>
      </c>
      <c r="BD38">
        <v>130</v>
      </c>
      <c r="BE38">
        <v>185.58</v>
      </c>
      <c r="BG38" s="2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8"/>
      <c r="CD38" s="47"/>
      <c r="CE38" s="47"/>
      <c r="CF38" s="47"/>
      <c r="CG38" s="47"/>
    </row>
    <row r="39" spans="1:85" x14ac:dyDescent="0.3">
      <c r="A39" s="7" t="s">
        <v>18</v>
      </c>
      <c r="D39" s="25"/>
      <c r="E39" s="25"/>
      <c r="F39" s="25"/>
      <c r="G39" s="4">
        <v>6734.74</v>
      </c>
      <c r="H39" s="4">
        <v>6958.57</v>
      </c>
      <c r="I39" s="25"/>
      <c r="J39" s="7">
        <v>20.190000000000001</v>
      </c>
      <c r="K39" s="7">
        <v>56.79</v>
      </c>
      <c r="M39" s="7">
        <f>71.17+392.75+134.66</f>
        <v>598.58000000000004</v>
      </c>
      <c r="N39" s="7">
        <f>421.32+115.2</f>
        <v>536.52</v>
      </c>
      <c r="P39" s="2"/>
      <c r="R39" s="7" t="s">
        <v>18</v>
      </c>
      <c r="U39" s="25"/>
      <c r="V39" s="25"/>
      <c r="W39" s="25"/>
      <c r="X39" s="4">
        <v>2358.44</v>
      </c>
      <c r="Y39" s="4">
        <v>2184.8000000000002</v>
      </c>
      <c r="Z39" s="25"/>
      <c r="AA39" s="7">
        <v>55.27</v>
      </c>
      <c r="AB39" s="7"/>
      <c r="AD39" s="7">
        <f>216.53+50.26</f>
        <v>266.79000000000002</v>
      </c>
      <c r="AE39" s="7">
        <v>129.53</v>
      </c>
      <c r="AH39" s="2"/>
      <c r="AJ39" s="7" t="s">
        <v>18</v>
      </c>
      <c r="AR39" s="7">
        <f>477.75+35.55</f>
        <v>513.29999999999995</v>
      </c>
      <c r="AS39" s="7">
        <f>22.58+392.98</f>
        <v>415.56</v>
      </c>
      <c r="AT39" s="7">
        <f>29.01+311.44+131.37</f>
        <v>471.82</v>
      </c>
      <c r="AU39" s="7">
        <f>29+333.33</f>
        <v>362.33</v>
      </c>
      <c r="AW39">
        <v>1367.84</v>
      </c>
      <c r="AX39">
        <v>809.96</v>
      </c>
      <c r="AZ39">
        <v>69.55</v>
      </c>
      <c r="BD39">
        <v>258.33999999999997</v>
      </c>
      <c r="BE39">
        <v>102.8</v>
      </c>
      <c r="BG39" s="2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8"/>
      <c r="CD39" s="47"/>
      <c r="CE39" s="47"/>
      <c r="CF39" s="47"/>
      <c r="CG39" s="47"/>
    </row>
    <row r="40" spans="1:85" x14ac:dyDescent="0.3">
      <c r="A40" s="19" t="s">
        <v>106</v>
      </c>
      <c r="D40" s="25"/>
      <c r="E40" s="25"/>
      <c r="F40" s="25"/>
      <c r="G40" s="25">
        <v>2107.12</v>
      </c>
      <c r="H40" s="25">
        <v>3754.55</v>
      </c>
      <c r="I40" s="25"/>
      <c r="J40" s="25"/>
      <c r="M40" s="19">
        <v>443.12</v>
      </c>
      <c r="N40" s="19">
        <v>517.13</v>
      </c>
      <c r="P40" s="2"/>
      <c r="R40" s="19" t="s">
        <v>106</v>
      </c>
      <c r="U40" s="25"/>
      <c r="V40" s="25"/>
      <c r="W40" s="25"/>
      <c r="X40" s="4">
        <v>3925.83</v>
      </c>
      <c r="Y40" s="4">
        <v>1978.83</v>
      </c>
      <c r="Z40" s="25"/>
      <c r="AA40" s="25"/>
      <c r="AD40" s="19">
        <v>232.96</v>
      </c>
      <c r="AE40" s="19">
        <v>383.04</v>
      </c>
      <c r="AH40" s="2"/>
      <c r="AW40">
        <v>1163.8900000000001</v>
      </c>
      <c r="AX40">
        <v>711.19</v>
      </c>
      <c r="AZ40">
        <v>352.68</v>
      </c>
      <c r="BD40">
        <v>198</v>
      </c>
      <c r="BE40">
        <v>120</v>
      </c>
      <c r="BG40" s="2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8"/>
      <c r="CD40" s="47"/>
      <c r="CE40" s="47"/>
      <c r="CF40" s="47"/>
      <c r="CG40" s="47"/>
    </row>
    <row r="41" spans="1:85" x14ac:dyDescent="0.3"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P41" s="2"/>
      <c r="U41" s="25"/>
      <c r="V41" s="25"/>
      <c r="W41" s="25"/>
      <c r="X41" s="4">
        <v>1821.09</v>
      </c>
      <c r="Y41" s="4">
        <v>1036.83</v>
      </c>
      <c r="Z41" s="25"/>
      <c r="AA41" s="25"/>
      <c r="AH41" s="2"/>
      <c r="AW41">
        <v>2871.02</v>
      </c>
      <c r="AX41">
        <v>1489.71</v>
      </c>
      <c r="AZ41" s="4">
        <f>SUM(Tableau11[08-nov])</f>
        <v>1997.16</v>
      </c>
      <c r="BA41" s="4">
        <f>SUM(Tableau12[15-nov])</f>
        <v>1037.51</v>
      </c>
      <c r="BB41" s="4">
        <f>SUM(Tableau12[30-nov])</f>
        <v>1405.24</v>
      </c>
      <c r="BD41">
        <v>240</v>
      </c>
      <c r="BE41">
        <v>123.29</v>
      </c>
      <c r="BG41" s="2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8"/>
      <c r="CD41" s="47"/>
      <c r="CE41" s="47"/>
      <c r="CF41" s="47"/>
      <c r="CG41" s="47"/>
    </row>
    <row r="42" spans="1:85" ht="18" x14ac:dyDescent="0.35">
      <c r="A42" s="4" t="s">
        <v>23</v>
      </c>
      <c r="B42">
        <f>C38+D38+E38+G38+H38+H39+G39+G40+H40+J38+K38+M38+N38</f>
        <v>106288.51999999999</v>
      </c>
      <c r="C42" t="s">
        <v>24</v>
      </c>
      <c r="D42" s="11" t="s">
        <v>25</v>
      </c>
      <c r="I42" s="25"/>
      <c r="J42" s="25"/>
      <c r="K42" s="25"/>
      <c r="L42" s="25"/>
      <c r="M42" s="25"/>
      <c r="N42" s="25"/>
      <c r="P42" s="2"/>
      <c r="U42" s="25"/>
      <c r="V42" s="25"/>
      <c r="W42" s="25"/>
      <c r="X42" s="25"/>
      <c r="Y42" s="25"/>
      <c r="Z42" s="25"/>
      <c r="AA42" s="25"/>
      <c r="AH42" s="2"/>
      <c r="AW42" s="4">
        <f>SUM(Tableau13[02-nov])</f>
        <v>7828.48</v>
      </c>
      <c r="AX42" s="4">
        <f>SUM(Tableau13[16-nov])</f>
        <v>4719.58</v>
      </c>
      <c r="BD42">
        <v>131</v>
      </c>
      <c r="BE42">
        <v>185</v>
      </c>
      <c r="BG42" s="2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8"/>
      <c r="CD42" s="47"/>
      <c r="CE42" s="47"/>
      <c r="CF42" s="47"/>
      <c r="CG42" s="47"/>
    </row>
    <row r="43" spans="1:85" ht="18" x14ac:dyDescent="0.35">
      <c r="A43" s="7" t="s">
        <v>26</v>
      </c>
      <c r="B43">
        <f>J39+K39+M39+N39</f>
        <v>1212.08</v>
      </c>
      <c r="C43" t="s">
        <v>24</v>
      </c>
      <c r="I43" s="25"/>
      <c r="J43" s="25"/>
      <c r="K43" s="25"/>
      <c r="L43" s="25"/>
      <c r="M43" s="25"/>
      <c r="N43" s="25"/>
      <c r="P43" s="2"/>
      <c r="R43" s="4" t="s">
        <v>23</v>
      </c>
      <c r="S43">
        <f>T38+U38+V38+X38+X39+X41+X40+Y41+Y40+Y39+Y38+AA38+AB38+AD38+AE38</f>
        <v>59316.810000000005</v>
      </c>
      <c r="T43" t="s">
        <v>24</v>
      </c>
      <c r="V43" s="11" t="s">
        <v>25</v>
      </c>
      <c r="Z43" s="25"/>
      <c r="AA43" s="25"/>
      <c r="AB43" s="25"/>
      <c r="AC43" s="25"/>
      <c r="AD43" s="25"/>
      <c r="AE43" s="25"/>
      <c r="AH43" s="2"/>
      <c r="BD43">
        <v>140.35</v>
      </c>
      <c r="BE43">
        <v>178</v>
      </c>
      <c r="BG43" s="2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8"/>
      <c r="CD43" s="47"/>
      <c r="CE43" s="47"/>
      <c r="CF43" s="47"/>
      <c r="CG43" s="47"/>
    </row>
    <row r="44" spans="1:85" ht="18" x14ac:dyDescent="0.35">
      <c r="A44" s="19" t="s">
        <v>110</v>
      </c>
      <c r="B44">
        <f>M40+N40</f>
        <v>960.25</v>
      </c>
      <c r="E44" s="13" t="s">
        <v>14</v>
      </c>
      <c r="F44" s="14">
        <f>B42*3.1</f>
        <v>329494.41199999995</v>
      </c>
      <c r="G44" s="13" t="s">
        <v>28</v>
      </c>
      <c r="P44" s="2"/>
      <c r="R44" s="7" t="s">
        <v>26</v>
      </c>
      <c r="S44">
        <f>AA39+AD39+AE39</f>
        <v>451.59000000000003</v>
      </c>
      <c r="T44" t="s">
        <v>24</v>
      </c>
      <c r="AH44" s="2"/>
      <c r="AJ44" s="4" t="s">
        <v>23</v>
      </c>
      <c r="AK44" cm="1">
        <f t="array" ref="AK44">Tableau14[10-nov]+Tableau14[20-nov]+Tableau14[30-nov]+BD48+BE48+Tableau13[[#Totals],[02-nov]]+Tableau13[[#Totals],[16-nov]]+Tableau11[[#Totals],[08-nov]]+BA41+BB41+AR38+AS38+AT38+AU38</f>
        <v>169054.83999999997</v>
      </c>
      <c r="AL44" t="s">
        <v>24</v>
      </c>
      <c r="AN44" s="11" t="s">
        <v>25</v>
      </c>
      <c r="BD44">
        <v>81.56</v>
      </c>
      <c r="BE44">
        <v>118.44</v>
      </c>
      <c r="BG44" s="2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8"/>
      <c r="CD44" s="47"/>
      <c r="CE44" s="47"/>
      <c r="CF44" s="47"/>
      <c r="CG44" s="47"/>
    </row>
    <row r="45" spans="1:85" x14ac:dyDescent="0.3">
      <c r="E45" s="13" t="s">
        <v>18</v>
      </c>
      <c r="F45" s="14">
        <f>B43*2.7</f>
        <v>3272.616</v>
      </c>
      <c r="G45" s="13" t="s">
        <v>28</v>
      </c>
      <c r="P45" s="2"/>
      <c r="R45" s="19" t="s">
        <v>110</v>
      </c>
      <c r="S45">
        <f>AD40+AE40</f>
        <v>616</v>
      </c>
      <c r="T45" s="35" t="s">
        <v>24</v>
      </c>
      <c r="W45" s="13" t="s">
        <v>14</v>
      </c>
      <c r="X45" s="14">
        <f>S43*3.1</f>
        <v>183882.11100000003</v>
      </c>
      <c r="Y45" s="13" t="s">
        <v>28</v>
      </c>
      <c r="AH45" s="2"/>
      <c r="AJ45" s="7" t="s">
        <v>26</v>
      </c>
      <c r="AK45">
        <f>AR39+AS39+AT39+AU39</f>
        <v>1763.0099999999998</v>
      </c>
      <c r="AL45" t="s">
        <v>24</v>
      </c>
      <c r="BE45">
        <v>267.14</v>
      </c>
      <c r="BG45" s="2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8"/>
      <c r="CD45" s="47"/>
      <c r="CE45" s="47"/>
      <c r="CF45" s="47"/>
      <c r="CG45" s="47"/>
    </row>
    <row r="46" spans="1:85" x14ac:dyDescent="0.3">
      <c r="E46" s="13" t="s">
        <v>111</v>
      </c>
      <c r="F46" s="13">
        <f>B44*1.11</f>
        <v>1065.8775000000001</v>
      </c>
      <c r="G46" s="13"/>
      <c r="P46" s="2"/>
      <c r="W46" s="13" t="s">
        <v>18</v>
      </c>
      <c r="X46" s="14">
        <f>S44*2.7</f>
        <v>1219.2930000000001</v>
      </c>
      <c r="Y46" s="13" t="s">
        <v>28</v>
      </c>
      <c r="AH46" s="2"/>
      <c r="AO46" s="13" t="s">
        <v>14</v>
      </c>
      <c r="AP46" s="14">
        <f>AK44*3.1</f>
        <v>524070.0039999999</v>
      </c>
      <c r="AQ46" s="13" t="s">
        <v>28</v>
      </c>
      <c r="BE46">
        <v>118.98</v>
      </c>
      <c r="BG46" s="2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8"/>
      <c r="CD46" s="47"/>
      <c r="CE46" s="47"/>
      <c r="CF46" s="47"/>
      <c r="CG46" s="47"/>
    </row>
    <row r="47" spans="1:85" x14ac:dyDescent="0.3">
      <c r="E47" s="13"/>
      <c r="F47" s="14"/>
      <c r="G47" s="13"/>
      <c r="P47" s="2"/>
      <c r="W47" s="13" t="s">
        <v>111</v>
      </c>
      <c r="X47" s="13">
        <f>S45*1.11</f>
        <v>683.7600000000001</v>
      </c>
      <c r="Y47" s="13" t="s">
        <v>28</v>
      </c>
      <c r="AH47" s="2"/>
      <c r="AO47" s="13" t="s">
        <v>18</v>
      </c>
      <c r="AP47" s="14">
        <f>AK45*2.7</f>
        <v>4760.1269999999995</v>
      </c>
      <c r="AQ47" s="13" t="s">
        <v>28</v>
      </c>
      <c r="BE47">
        <v>114</v>
      </c>
      <c r="BG47" s="2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8"/>
      <c r="CD47" s="47"/>
      <c r="CE47" s="47"/>
      <c r="CF47" s="47"/>
      <c r="CG47" s="47"/>
    </row>
    <row r="48" spans="1:85" ht="15.6" x14ac:dyDescent="0.3">
      <c r="E48" s="20" t="s">
        <v>4</v>
      </c>
      <c r="F48" s="21">
        <f>F45+F46+F44</f>
        <v>333832.90549999994</v>
      </c>
      <c r="G48" s="20" t="s">
        <v>28</v>
      </c>
      <c r="P48" s="2"/>
      <c r="W48" s="13"/>
      <c r="X48" s="14"/>
      <c r="Y48" s="13"/>
      <c r="AH48" s="2"/>
      <c r="AO48" s="13" t="s">
        <v>111</v>
      </c>
      <c r="AP48" s="13">
        <v>0</v>
      </c>
      <c r="AQ48" s="13" t="s">
        <v>28</v>
      </c>
      <c r="BD48" s="4">
        <f>SUM(BD38:BD47)</f>
        <v>1179.2499999999998</v>
      </c>
      <c r="BE48" s="4">
        <f>SUM(BE38:BE47)</f>
        <v>1513.23</v>
      </c>
      <c r="BG48" s="2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8"/>
      <c r="CD48" s="47"/>
      <c r="CE48" s="47"/>
      <c r="CF48" s="47"/>
      <c r="CG48" s="47"/>
    </row>
    <row r="49" spans="1:85" ht="15.6" x14ac:dyDescent="0.3">
      <c r="P49" s="2"/>
      <c r="W49" s="20" t="s">
        <v>4</v>
      </c>
      <c r="X49" s="21">
        <f>X46+X47+X45</f>
        <v>185785.16400000005</v>
      </c>
      <c r="Y49" s="20" t="s">
        <v>28</v>
      </c>
      <c r="AH49" s="2"/>
      <c r="AO49" s="20" t="s">
        <v>4</v>
      </c>
      <c r="AP49" s="21">
        <f>AP46+AP47</f>
        <v>528830.13099999994</v>
      </c>
      <c r="AQ49" s="20" t="s">
        <v>28</v>
      </c>
      <c r="BG49" s="2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8"/>
      <c r="CD49" s="47"/>
      <c r="CE49" s="47"/>
      <c r="CF49" s="47"/>
      <c r="CG49" s="47"/>
    </row>
    <row r="50" spans="1:8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8"/>
      <c r="CD50" s="47"/>
      <c r="CE50" s="47"/>
      <c r="CF50" s="47"/>
      <c r="CG50" s="47"/>
    </row>
    <row r="51" spans="1:85" ht="18" x14ac:dyDescent="0.35">
      <c r="A51" s="5" t="s">
        <v>16</v>
      </c>
      <c r="C51" s="1" t="s">
        <v>1</v>
      </c>
      <c r="D51" s="1"/>
      <c r="E51" s="1"/>
      <c r="F51" s="1"/>
      <c r="G51" s="1" t="s">
        <v>3</v>
      </c>
      <c r="H51" s="1"/>
      <c r="I51" s="1"/>
      <c r="J51" s="1" t="s">
        <v>4</v>
      </c>
      <c r="K51" s="1"/>
      <c r="L51" s="1"/>
      <c r="M51" s="1" t="s">
        <v>5</v>
      </c>
      <c r="P51" s="2"/>
      <c r="Q51" s="1" t="s">
        <v>45</v>
      </c>
      <c r="T51" s="1" t="s">
        <v>1</v>
      </c>
      <c r="U51" s="1"/>
      <c r="V51" s="1"/>
      <c r="W51" s="1"/>
      <c r="X51" s="1" t="s">
        <v>3</v>
      </c>
      <c r="Y51" s="1"/>
      <c r="Z51" s="1"/>
      <c r="AA51" s="1" t="s">
        <v>4</v>
      </c>
      <c r="AB51" s="1"/>
      <c r="AC51" s="1"/>
      <c r="AD51" s="1" t="s">
        <v>5</v>
      </c>
      <c r="AE51" s="1"/>
      <c r="AH51" s="2"/>
      <c r="AI51" s="1" t="s">
        <v>46</v>
      </c>
      <c r="BG51" s="2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8"/>
      <c r="CD51" s="47"/>
      <c r="CE51" s="47"/>
      <c r="CF51" s="47"/>
      <c r="CG51" s="47"/>
    </row>
    <row r="52" spans="1:85" ht="15.6" x14ac:dyDescent="0.3">
      <c r="C52" s="3">
        <v>45392</v>
      </c>
      <c r="D52" s="49">
        <v>45402</v>
      </c>
      <c r="E52" s="49">
        <v>45412</v>
      </c>
      <c r="F52" s="25"/>
      <c r="G52" s="49">
        <v>45397</v>
      </c>
      <c r="H52" s="49">
        <v>45412</v>
      </c>
      <c r="I52" s="25"/>
      <c r="J52" s="49">
        <v>45397</v>
      </c>
      <c r="K52" s="49">
        <v>45412</v>
      </c>
      <c r="M52" s="3">
        <v>45397</v>
      </c>
      <c r="N52" s="3">
        <v>45412</v>
      </c>
      <c r="P52" s="2"/>
      <c r="T52" s="3">
        <v>45514</v>
      </c>
      <c r="U52" s="49">
        <v>45524</v>
      </c>
      <c r="V52" s="49">
        <v>45535</v>
      </c>
      <c r="W52" s="25"/>
      <c r="X52" s="49">
        <v>45519</v>
      </c>
      <c r="Y52" s="49">
        <v>45535</v>
      </c>
      <c r="Z52" s="25"/>
      <c r="AA52" s="49">
        <v>45519</v>
      </c>
      <c r="AB52" s="49">
        <v>45535</v>
      </c>
      <c r="AD52" s="49">
        <v>45519</v>
      </c>
      <c r="AE52" s="3">
        <v>45535</v>
      </c>
      <c r="AH52" s="2"/>
      <c r="AN52" s="1" t="s">
        <v>1</v>
      </c>
      <c r="AO52" s="1"/>
      <c r="AP52" s="1"/>
      <c r="AQ52" s="1"/>
      <c r="AU52" s="1"/>
      <c r="AW52" s="1" t="s">
        <v>3</v>
      </c>
      <c r="AX52" s="1"/>
      <c r="AY52" s="1" t="s">
        <v>4</v>
      </c>
      <c r="AZ52" s="1"/>
      <c r="BA52" s="1"/>
      <c r="BB52" s="1" t="s">
        <v>2</v>
      </c>
      <c r="BC52" s="1"/>
      <c r="BD52" s="1"/>
      <c r="BG52" s="2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8"/>
      <c r="CD52" s="47"/>
      <c r="CE52" s="47"/>
      <c r="CF52" s="47"/>
      <c r="CG52" s="47"/>
    </row>
    <row r="53" spans="1:85" ht="15.6" x14ac:dyDescent="0.3">
      <c r="A53" s="4" t="s">
        <v>14</v>
      </c>
      <c r="C53" s="4">
        <v>808.46</v>
      </c>
      <c r="D53" s="4">
        <v>1167.78</v>
      </c>
      <c r="E53" s="4">
        <v>262.97000000000003</v>
      </c>
      <c r="F53" s="25"/>
      <c r="G53" s="4">
        <v>4266.91</v>
      </c>
      <c r="H53" s="4">
        <v>982.56</v>
      </c>
      <c r="I53" s="25"/>
      <c r="J53" s="4">
        <v>602.73</v>
      </c>
      <c r="K53" s="4">
        <v>778.7</v>
      </c>
      <c r="M53" s="4">
        <f>1949.32+619.29+28226+379.46</f>
        <v>31174.07</v>
      </c>
      <c r="N53" s="4">
        <f>2738.29+521.99+16318.74+524.43</f>
        <v>20103.45</v>
      </c>
      <c r="P53" s="2"/>
      <c r="R53" s="4" t="s">
        <v>14</v>
      </c>
      <c r="T53" s="4">
        <v>990.91</v>
      </c>
      <c r="U53" s="4">
        <v>1025.21</v>
      </c>
      <c r="V53" s="4">
        <v>1882.55</v>
      </c>
      <c r="W53" s="25"/>
      <c r="X53" s="4">
        <v>422.82</v>
      </c>
      <c r="Y53" s="4">
        <v>999.68</v>
      </c>
      <c r="Z53" s="25"/>
      <c r="AA53" s="4">
        <f>387.03+50.27</f>
        <v>437.29999999999995</v>
      </c>
      <c r="AB53" s="4">
        <v>564.21</v>
      </c>
      <c r="AD53" s="4">
        <f>12962.23+560.73+423+273.35</f>
        <v>14219.31</v>
      </c>
      <c r="AE53" s="4">
        <f>18682.91+207.4+169+250.05</f>
        <v>19309.36</v>
      </c>
      <c r="AH53" s="2"/>
      <c r="AN53" s="3" t="s">
        <v>50</v>
      </c>
      <c r="AO53" s="3" t="s">
        <v>51</v>
      </c>
      <c r="AP53" s="3" t="s">
        <v>52</v>
      </c>
      <c r="AR53" s="1" t="s">
        <v>5</v>
      </c>
      <c r="AS53" s="1"/>
      <c r="AT53" s="1"/>
      <c r="AU53" s="1"/>
      <c r="AW53" s="3" t="s">
        <v>53</v>
      </c>
      <c r="AY53" s="3" t="s">
        <v>54</v>
      </c>
      <c r="AZ53" s="3" t="s">
        <v>55</v>
      </c>
      <c r="BB53" s="3" t="s">
        <v>56</v>
      </c>
      <c r="BC53" s="3" t="s">
        <v>57</v>
      </c>
      <c r="BD53" s="3" t="s">
        <v>52</v>
      </c>
      <c r="BG53" s="2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8"/>
      <c r="CD53" s="47"/>
      <c r="CE53" s="47"/>
      <c r="CF53" s="47"/>
      <c r="CG53" s="47"/>
    </row>
    <row r="54" spans="1:85" x14ac:dyDescent="0.3">
      <c r="A54" s="7" t="s">
        <v>18</v>
      </c>
      <c r="D54" s="25"/>
      <c r="E54" s="25"/>
      <c r="F54" s="25"/>
      <c r="G54" s="4">
        <v>6313.25</v>
      </c>
      <c r="H54" s="4">
        <v>3285.61</v>
      </c>
      <c r="I54" s="25"/>
      <c r="J54" s="7"/>
      <c r="K54" s="7">
        <v>113.91</v>
      </c>
      <c r="M54" s="7">
        <f>40.28+53.98+211.55</f>
        <v>305.81</v>
      </c>
      <c r="N54" s="7">
        <f>297.16+238.49</f>
        <v>535.65000000000009</v>
      </c>
      <c r="P54" s="2"/>
      <c r="R54" s="7" t="s">
        <v>18</v>
      </c>
      <c r="U54" s="25"/>
      <c r="V54" s="25"/>
      <c r="W54" s="25"/>
      <c r="X54" s="4">
        <v>3366.27</v>
      </c>
      <c r="Y54" s="4">
        <v>1506.65</v>
      </c>
      <c r="Z54" s="25"/>
      <c r="AA54" s="25"/>
      <c r="AB54" s="25"/>
      <c r="AD54" s="7">
        <f>262.84+57.04</f>
        <v>319.88</v>
      </c>
      <c r="AE54" s="7">
        <f>234.4+65.29</f>
        <v>299.69</v>
      </c>
      <c r="AH54" s="2"/>
      <c r="AN54" s="4">
        <v>7510.32</v>
      </c>
      <c r="AO54" s="4">
        <v>6693.01</v>
      </c>
      <c r="AP54" s="4">
        <v>424.64</v>
      </c>
      <c r="AR54" s="3" t="s">
        <v>59</v>
      </c>
      <c r="AS54" s="3" t="s">
        <v>54</v>
      </c>
      <c r="AT54" s="3" t="s">
        <v>60</v>
      </c>
      <c r="AU54" s="3" t="s">
        <v>55</v>
      </c>
      <c r="AW54">
        <v>181</v>
      </c>
      <c r="AY54" s="4">
        <v>1199.26</v>
      </c>
      <c r="AZ54" s="4">
        <v>371.24</v>
      </c>
      <c r="BB54">
        <v>128.03</v>
      </c>
      <c r="BC54">
        <v>190</v>
      </c>
      <c r="BD54">
        <v>214</v>
      </c>
      <c r="BG54" s="2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8"/>
      <c r="CD54" s="47"/>
      <c r="CE54" s="47"/>
      <c r="CF54" s="47"/>
      <c r="CG54" s="47"/>
    </row>
    <row r="55" spans="1:85" x14ac:dyDescent="0.3">
      <c r="A55" s="19" t="s">
        <v>106</v>
      </c>
      <c r="D55" s="25"/>
      <c r="E55" s="25"/>
      <c r="F55" s="25"/>
      <c r="G55" s="4">
        <v>2994.87</v>
      </c>
      <c r="H55" s="4">
        <v>1812.05</v>
      </c>
      <c r="I55" s="25"/>
      <c r="J55" s="25"/>
      <c r="M55" s="19">
        <v>425.6</v>
      </c>
      <c r="N55" s="19">
        <v>195.64</v>
      </c>
      <c r="P55" s="2"/>
      <c r="R55" s="19" t="s">
        <v>106</v>
      </c>
      <c r="U55" s="25"/>
      <c r="V55" s="25"/>
      <c r="W55" s="25"/>
      <c r="X55" s="4">
        <v>1075.1500000000001</v>
      </c>
      <c r="Y55" s="4">
        <v>1150.1199999999999</v>
      </c>
      <c r="Z55" s="25"/>
      <c r="AA55" s="25"/>
      <c r="AD55" s="19">
        <v>445.61</v>
      </c>
      <c r="AE55" s="19">
        <v>457.77</v>
      </c>
      <c r="AH55" s="2"/>
      <c r="AR55" s="4">
        <f>48865.63+72.47</f>
        <v>48938.1</v>
      </c>
      <c r="AS55" s="4">
        <f>24517.18+1011.99</f>
        <v>25529.170000000002</v>
      </c>
      <c r="AT55" s="4">
        <v>27648.45</v>
      </c>
      <c r="AU55" s="4">
        <v>6414.64</v>
      </c>
      <c r="AW55">
        <v>490.07</v>
      </c>
      <c r="AY55" s="7">
        <v>36.47</v>
      </c>
      <c r="BB55">
        <v>200</v>
      </c>
      <c r="BC55">
        <v>57.45</v>
      </c>
      <c r="BD55">
        <v>240</v>
      </c>
      <c r="BG55" s="2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8"/>
      <c r="CD55" s="47"/>
      <c r="CE55" s="47"/>
      <c r="CF55" s="47"/>
      <c r="CG55" s="47"/>
    </row>
    <row r="56" spans="1:85" x14ac:dyDescent="0.3">
      <c r="D56" s="25"/>
      <c r="E56" s="25"/>
      <c r="F56" s="25"/>
      <c r="G56" s="25"/>
      <c r="H56" s="25"/>
      <c r="I56" s="25"/>
      <c r="J56" s="25"/>
      <c r="P56" s="2"/>
      <c r="U56" s="25"/>
      <c r="V56" s="25"/>
      <c r="W56" s="25"/>
      <c r="X56" s="4">
        <v>1736.83</v>
      </c>
      <c r="Y56" s="4">
        <v>1550.15</v>
      </c>
      <c r="Z56" s="25"/>
      <c r="AA56" s="25"/>
      <c r="AH56" s="2"/>
      <c r="AR56" s="7">
        <f>90.52+430.22</f>
        <v>520.74</v>
      </c>
      <c r="AS56" s="7">
        <f>53.82+295.07+73.91</f>
        <v>422.79999999999995</v>
      </c>
      <c r="AT56" s="7">
        <f>222.3+25.65</f>
        <v>247.95000000000002</v>
      </c>
      <c r="AU56" s="7">
        <f>107.44+37.01+90.47</f>
        <v>234.92</v>
      </c>
      <c r="AW56">
        <v>207.18</v>
      </c>
      <c r="BB56">
        <v>240.4</v>
      </c>
      <c r="BC56">
        <v>77.91</v>
      </c>
      <c r="BD56">
        <v>57</v>
      </c>
      <c r="BG56" s="2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8"/>
      <c r="CD56" s="47"/>
      <c r="CE56" s="47"/>
      <c r="CF56" s="47"/>
      <c r="CG56" s="47"/>
    </row>
    <row r="57" spans="1:85" ht="18" x14ac:dyDescent="0.35">
      <c r="A57" s="4" t="s">
        <v>23</v>
      </c>
      <c r="B57">
        <f>C53+D53+E53+G53+H53+H54+H55+G55+G54+J53+K53+M53+N53</f>
        <v>74553.41</v>
      </c>
      <c r="C57" t="s">
        <v>24</v>
      </c>
      <c r="D57" s="11" t="s">
        <v>25</v>
      </c>
      <c r="I57" s="25"/>
      <c r="J57" s="25"/>
      <c r="P57" s="2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H57" s="2"/>
      <c r="AW57" s="4">
        <f>SUM(AW54:AW56)</f>
        <v>878.25</v>
      </c>
      <c r="BB57">
        <v>128</v>
      </c>
      <c r="BC57">
        <v>229</v>
      </c>
      <c r="BD57">
        <v>127</v>
      </c>
      <c r="BG57" s="2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8"/>
      <c r="CD57" s="47"/>
      <c r="CE57" s="47"/>
      <c r="CF57" s="47"/>
      <c r="CG57" s="47"/>
    </row>
    <row r="58" spans="1:85" x14ac:dyDescent="0.3">
      <c r="A58" s="7" t="s">
        <v>26</v>
      </c>
      <c r="B58">
        <f>K54+M54+N54</f>
        <v>955.37000000000012</v>
      </c>
      <c r="C58" t="s">
        <v>24</v>
      </c>
      <c r="I58" s="25"/>
      <c r="J58" s="25"/>
      <c r="K58" s="25"/>
      <c r="L58" s="25"/>
      <c r="M58" s="25"/>
      <c r="N58" s="25"/>
      <c r="P58" s="2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H58" s="2"/>
      <c r="BB58">
        <v>128.06</v>
      </c>
      <c r="BC58">
        <v>132</v>
      </c>
      <c r="BD58">
        <v>58.45</v>
      </c>
      <c r="BG58" s="2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8"/>
      <c r="CD58" s="47"/>
      <c r="CE58" s="47"/>
      <c r="CF58" s="47"/>
      <c r="CG58" s="47"/>
    </row>
    <row r="59" spans="1:85" ht="18" x14ac:dyDescent="0.35">
      <c r="A59" s="19" t="s">
        <v>110</v>
      </c>
      <c r="B59">
        <f>M55+N55</f>
        <v>621.24</v>
      </c>
      <c r="C59" t="s">
        <v>24</v>
      </c>
      <c r="E59" s="13" t="s">
        <v>14</v>
      </c>
      <c r="F59" s="14">
        <f>B57*3.1</f>
        <v>231115.57100000003</v>
      </c>
      <c r="G59" s="13" t="s">
        <v>28</v>
      </c>
      <c r="P59" s="2"/>
      <c r="R59" s="4" t="s">
        <v>23</v>
      </c>
      <c r="S59">
        <f>T53+U53+V53+X53+X54+X55+X56+Y56+Y55+Y54+Y53+AA53+AB53+AD53+AE53</f>
        <v>50236.52</v>
      </c>
      <c r="T59" t="s">
        <v>24</v>
      </c>
      <c r="V59" s="11" t="s">
        <v>25</v>
      </c>
      <c r="AH59" s="2"/>
      <c r="BB59">
        <v>196</v>
      </c>
      <c r="BC59">
        <v>60.7</v>
      </c>
      <c r="BD59">
        <v>70.02</v>
      </c>
      <c r="BG59" s="2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8"/>
      <c r="CD59" s="47"/>
      <c r="CE59" s="47"/>
      <c r="CF59" s="47"/>
      <c r="CG59" s="47"/>
    </row>
    <row r="60" spans="1:85" x14ac:dyDescent="0.3">
      <c r="E60" s="13" t="s">
        <v>18</v>
      </c>
      <c r="F60" s="14">
        <f>B58*2.7</f>
        <v>2579.4990000000007</v>
      </c>
      <c r="G60" s="13" t="s">
        <v>28</v>
      </c>
      <c r="P60" s="2"/>
      <c r="R60" s="7" t="s">
        <v>26</v>
      </c>
      <c r="S60">
        <f>AD54+AE54</f>
        <v>619.56999999999994</v>
      </c>
      <c r="T60" t="s">
        <v>24</v>
      </c>
      <c r="AH60" s="2"/>
      <c r="BB60">
        <v>220</v>
      </c>
      <c r="BC60">
        <v>234.83</v>
      </c>
      <c r="BD60">
        <v>184.83</v>
      </c>
      <c r="BG60" s="2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8"/>
      <c r="CD60" s="47"/>
      <c r="CE60" s="47"/>
      <c r="CF60" s="47"/>
      <c r="CG60" s="47"/>
    </row>
    <row r="61" spans="1:85" x14ac:dyDescent="0.3">
      <c r="E61" s="13" t="s">
        <v>111</v>
      </c>
      <c r="F61" s="13">
        <f>B59*1.11</f>
        <v>689.57640000000004</v>
      </c>
      <c r="G61" s="13" t="s">
        <v>28</v>
      </c>
      <c r="P61" s="2"/>
      <c r="R61" s="19" t="s">
        <v>110</v>
      </c>
      <c r="S61">
        <f>AD55+AE55</f>
        <v>903.38</v>
      </c>
      <c r="T61" t="s">
        <v>24</v>
      </c>
      <c r="W61" s="13" t="s">
        <v>14</v>
      </c>
      <c r="X61" s="14">
        <f>S59*3.1</f>
        <v>155733.212</v>
      </c>
      <c r="Y61" s="13" t="s">
        <v>28</v>
      </c>
      <c r="AH61" s="2"/>
      <c r="BB61">
        <v>242</v>
      </c>
      <c r="BC61">
        <v>183.09</v>
      </c>
      <c r="BD61">
        <v>180</v>
      </c>
      <c r="BG61" s="2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8"/>
      <c r="CD61" s="47"/>
      <c r="CE61" s="47"/>
      <c r="CF61" s="47"/>
      <c r="CG61" s="47"/>
    </row>
    <row r="62" spans="1:85" x14ac:dyDescent="0.3">
      <c r="E62" s="13"/>
      <c r="F62" s="14"/>
      <c r="G62" s="13"/>
      <c r="P62" s="2"/>
      <c r="W62" s="13" t="s">
        <v>18</v>
      </c>
      <c r="X62" s="14">
        <f>S60*2.7</f>
        <v>1672.8389999999999</v>
      </c>
      <c r="Y62" s="13" t="s">
        <v>28</v>
      </c>
      <c r="AH62" s="2"/>
      <c r="BB62">
        <v>52</v>
      </c>
      <c r="BC62">
        <v>83.9</v>
      </c>
      <c r="BD62">
        <v>198.51</v>
      </c>
      <c r="BG62" s="2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8"/>
      <c r="CD62" s="47"/>
      <c r="CE62" s="47"/>
      <c r="CF62" s="47"/>
      <c r="CG62" s="47"/>
    </row>
    <row r="63" spans="1:85" ht="18" x14ac:dyDescent="0.35">
      <c r="E63" s="20" t="s">
        <v>4</v>
      </c>
      <c r="F63" s="21">
        <f>F60+F61+F59</f>
        <v>234384.64640000003</v>
      </c>
      <c r="G63" s="20" t="s">
        <v>28</v>
      </c>
      <c r="P63" s="2"/>
      <c r="W63" s="13" t="s">
        <v>111</v>
      </c>
      <c r="X63" s="13">
        <f>S61*1.11</f>
        <v>1002.7518000000001</v>
      </c>
      <c r="Y63" s="13" t="s">
        <v>28</v>
      </c>
      <c r="AH63" s="2"/>
      <c r="AJ63" s="4" t="s">
        <v>23</v>
      </c>
      <c r="AK63" cm="1">
        <f t="array" ref="AK63">Tableau1768[10-déc]+Tableau1768[20-déc]+Tableau1768[30-déc]+BB78+BC78+BD78+AW57+AY54+Tableau2071[31-déc]+AR55+AS55+AT55+AU55</f>
        <v>133608.83000000002</v>
      </c>
      <c r="AL63" t="s">
        <v>24</v>
      </c>
      <c r="AN63" s="11" t="s">
        <v>25</v>
      </c>
      <c r="BB63">
        <v>244.5</v>
      </c>
      <c r="BC63">
        <v>145.97</v>
      </c>
      <c r="BD63">
        <v>214</v>
      </c>
      <c r="BG63" s="2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8"/>
      <c r="CD63" s="47"/>
      <c r="CE63" s="47"/>
      <c r="CF63" s="47"/>
      <c r="CG63" s="47"/>
    </row>
    <row r="64" spans="1:85" x14ac:dyDescent="0.3">
      <c r="P64" s="2"/>
      <c r="W64" s="13"/>
      <c r="X64" s="14"/>
      <c r="Y64" s="13"/>
      <c r="AH64" s="2"/>
      <c r="AJ64" s="7" t="s">
        <v>26</v>
      </c>
      <c r="AK64">
        <f>AY55+AR56+AS56+AT56+AU56</f>
        <v>1462.88</v>
      </c>
      <c r="AL64" t="s">
        <v>24</v>
      </c>
      <c r="BB64">
        <v>135</v>
      </c>
      <c r="BC64">
        <v>55.1</v>
      </c>
      <c r="BD64">
        <v>55.23</v>
      </c>
      <c r="BG64" s="2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8"/>
      <c r="CD64" s="47"/>
      <c r="CE64" s="47"/>
      <c r="CF64" s="47"/>
      <c r="CG64" s="47"/>
    </row>
    <row r="65" spans="16:85" ht="15.6" x14ac:dyDescent="0.3">
      <c r="P65" s="2"/>
      <c r="W65" s="20" t="s">
        <v>4</v>
      </c>
      <c r="X65" s="21">
        <f>X62+X63+X61</f>
        <v>158408.8028</v>
      </c>
      <c r="Y65" s="20" t="s">
        <v>28</v>
      </c>
      <c r="AH65" s="2"/>
      <c r="AO65" s="13" t="s">
        <v>14</v>
      </c>
      <c r="AP65" s="14">
        <f>AK63*3.1</f>
        <v>414187.37300000008</v>
      </c>
      <c r="AQ65" s="13" t="s">
        <v>28</v>
      </c>
      <c r="BB65">
        <v>60.87</v>
      </c>
      <c r="BC65">
        <v>180</v>
      </c>
      <c r="BD65">
        <v>173</v>
      </c>
      <c r="BG65" s="2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8"/>
      <c r="CD65" s="47"/>
      <c r="CE65" s="47"/>
      <c r="CF65" s="47"/>
      <c r="CG65" s="47"/>
    </row>
    <row r="66" spans="16:85" x14ac:dyDescent="0.3">
      <c r="P66" s="2"/>
      <c r="AH66" s="2"/>
      <c r="AO66" s="13" t="s">
        <v>18</v>
      </c>
      <c r="AP66" s="14">
        <f>AK64*2.7</f>
        <v>3949.7760000000007</v>
      </c>
      <c r="AQ66" s="13" t="s">
        <v>28</v>
      </c>
      <c r="BB66">
        <v>163.69999999999999</v>
      </c>
      <c r="BC66">
        <v>221</v>
      </c>
      <c r="BD66">
        <v>103.97</v>
      </c>
      <c r="BG66" s="2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8"/>
      <c r="CD66" s="47"/>
      <c r="CE66" s="47"/>
      <c r="CF66" s="47"/>
      <c r="CG66" s="47"/>
    </row>
    <row r="67" spans="16:85" x14ac:dyDescent="0.3">
      <c r="P67" s="2"/>
      <c r="AH67" s="2"/>
      <c r="AO67" s="13" t="s">
        <v>111</v>
      </c>
      <c r="AP67" s="13">
        <v>0</v>
      </c>
      <c r="AQ67" s="13" t="s">
        <v>28</v>
      </c>
      <c r="BB67">
        <v>227.09</v>
      </c>
      <c r="BC67">
        <v>51.94</v>
      </c>
      <c r="BD67">
        <v>53.73</v>
      </c>
      <c r="BG67" s="2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8"/>
      <c r="CD67" s="47"/>
      <c r="CE67" s="47"/>
      <c r="CF67" s="47"/>
      <c r="CG67" s="47"/>
    </row>
    <row r="68" spans="16:85" ht="15.6" x14ac:dyDescent="0.3">
      <c r="P68" s="2"/>
      <c r="AH68" s="2"/>
      <c r="AO68" s="20" t="s">
        <v>4</v>
      </c>
      <c r="AP68" s="21">
        <f>AP65+AP66</f>
        <v>418137.14900000009</v>
      </c>
      <c r="AQ68" s="20" t="s">
        <v>28</v>
      </c>
      <c r="BB68">
        <v>182</v>
      </c>
      <c r="BC68">
        <v>207</v>
      </c>
      <c r="BD68">
        <v>57.72</v>
      </c>
      <c r="BG68" s="2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8"/>
      <c r="CD68" s="47"/>
      <c r="CE68" s="47"/>
      <c r="CF68" s="47"/>
      <c r="CG68" s="47"/>
    </row>
    <row r="69" spans="16:85" x14ac:dyDescent="0.3">
      <c r="P69" s="2"/>
      <c r="AH69" s="2"/>
      <c r="BB69">
        <v>111.08</v>
      </c>
      <c r="BC69">
        <v>115.16</v>
      </c>
      <c r="BG69" s="2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8"/>
      <c r="CD69" s="47"/>
      <c r="CE69" s="47"/>
      <c r="CF69" s="47"/>
      <c r="CG69" s="47"/>
    </row>
    <row r="70" spans="16:85" x14ac:dyDescent="0.3">
      <c r="P70" s="2"/>
      <c r="AH70" s="2"/>
      <c r="BC70">
        <v>145</v>
      </c>
      <c r="BG70" s="2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8"/>
      <c r="CD70" s="47"/>
      <c r="CE70" s="47"/>
      <c r="CF70" s="47"/>
      <c r="CG70" s="47"/>
    </row>
    <row r="71" spans="16:85" x14ac:dyDescent="0.3">
      <c r="P71" s="2"/>
      <c r="AH71" s="2"/>
      <c r="BC71">
        <v>51</v>
      </c>
      <c r="BG71" s="2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8"/>
      <c r="CD71" s="47"/>
      <c r="CE71" s="47"/>
      <c r="CF71" s="47"/>
      <c r="CG71" s="47"/>
    </row>
    <row r="72" spans="16:85" x14ac:dyDescent="0.3">
      <c r="P72" s="2"/>
      <c r="AH72" s="2"/>
      <c r="BC72">
        <v>163</v>
      </c>
      <c r="BG72" s="2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8"/>
      <c r="CD72" s="47"/>
      <c r="CE72" s="47"/>
      <c r="CF72" s="47"/>
      <c r="CG72" s="47"/>
    </row>
    <row r="73" spans="16:85" x14ac:dyDescent="0.3">
      <c r="P73" s="2"/>
      <c r="AH73" s="2"/>
      <c r="BC73">
        <v>219.75</v>
      </c>
      <c r="BG73" s="2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8"/>
      <c r="CD73" s="47"/>
      <c r="CE73" s="47"/>
      <c r="CF73" s="47"/>
      <c r="CG73" s="47"/>
    </row>
    <row r="74" spans="16:85" x14ac:dyDescent="0.3">
      <c r="P74" s="2"/>
      <c r="AH74" s="2"/>
      <c r="BC74">
        <v>223.3</v>
      </c>
      <c r="BG74" s="2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8"/>
      <c r="CD74" s="47"/>
      <c r="CE74" s="47"/>
      <c r="CF74" s="47"/>
      <c r="CG74" s="47"/>
    </row>
    <row r="75" spans="16:85" x14ac:dyDescent="0.3">
      <c r="P75" s="2"/>
      <c r="AH75" s="2"/>
      <c r="BC75">
        <v>57.8</v>
      </c>
      <c r="BG75" s="2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8"/>
      <c r="CD75" s="47"/>
      <c r="CE75" s="47"/>
      <c r="CF75" s="47"/>
      <c r="CG75" s="47"/>
    </row>
    <row r="76" spans="16:85" x14ac:dyDescent="0.3">
      <c r="P76" s="2"/>
      <c r="AH76" s="2"/>
      <c r="BC76">
        <v>183</v>
      </c>
      <c r="BG76" s="2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8"/>
      <c r="CD76" s="47"/>
      <c r="CE76" s="47"/>
      <c r="CF76" s="47"/>
      <c r="CG76" s="47"/>
    </row>
    <row r="77" spans="16:85" x14ac:dyDescent="0.3">
      <c r="P77" s="2"/>
      <c r="AH77" s="2"/>
      <c r="BC77">
        <v>87.66</v>
      </c>
      <c r="BG77" s="2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8"/>
      <c r="CD77" s="47"/>
      <c r="CE77" s="47"/>
      <c r="CF77" s="47"/>
      <c r="CG77" s="47"/>
    </row>
    <row r="78" spans="16:85" x14ac:dyDescent="0.3">
      <c r="P78" s="2"/>
      <c r="X78" s="12">
        <f>3026949-(AP32+AP49+AP68)</f>
        <v>1771997.628</v>
      </c>
      <c r="AH78" s="2"/>
      <c r="BB78" s="4">
        <f>SUM(BB54:BB77)</f>
        <v>2658.73</v>
      </c>
      <c r="BC78" s="4">
        <f t="shared" ref="BC78:BD78" si="0">SUM(BC54:BC77)</f>
        <v>3355.5600000000004</v>
      </c>
      <c r="BD78" s="4">
        <f t="shared" si="0"/>
        <v>1987.4600000000003</v>
      </c>
      <c r="BG78" s="2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8"/>
      <c r="CD78" s="47"/>
      <c r="CE78" s="47"/>
      <c r="CF78" s="47"/>
      <c r="CG78" s="47"/>
    </row>
    <row r="79" spans="16:85" x14ac:dyDescent="0.3">
      <c r="P79" s="2"/>
      <c r="X79" s="12">
        <f>F16+F33+F48+F63+X14+X33</f>
        <v>1771998.1049000002</v>
      </c>
      <c r="AH79" s="2"/>
      <c r="BG79" s="2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8"/>
      <c r="CD79" s="47"/>
      <c r="CE79" s="47"/>
      <c r="CF79" s="47"/>
      <c r="CG79" s="47"/>
    </row>
    <row r="80" spans="16:85" x14ac:dyDescent="0.3">
      <c r="P80" s="2"/>
      <c r="AH80" s="2"/>
      <c r="BG80" s="2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8"/>
      <c r="CD80" s="47"/>
      <c r="CE80" s="47"/>
      <c r="CF80" s="47"/>
      <c r="CG80" s="47"/>
    </row>
    <row r="81" spans="1:85" x14ac:dyDescent="0.3">
      <c r="K81" s="12">
        <f>F16+F33+F48+F63+X14+X33+X49+AP32+AP49+AP68</f>
        <v>3212734.6409000005</v>
      </c>
      <c r="P81" s="2"/>
      <c r="AH81" s="2"/>
      <c r="BG81" s="2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8"/>
      <c r="CD81" s="47"/>
      <c r="CE81" s="47"/>
      <c r="CF81" s="47"/>
      <c r="CG81" s="47"/>
    </row>
    <row r="82" spans="1:85" x14ac:dyDescent="0.3">
      <c r="P82" s="2"/>
      <c r="AH82" s="2"/>
      <c r="BG82" s="2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8"/>
      <c r="CD82" s="47"/>
      <c r="CE82" s="47"/>
      <c r="CF82" s="47"/>
      <c r="CG82" s="47"/>
    </row>
    <row r="83" spans="1:85" x14ac:dyDescent="0.3">
      <c r="P83" s="2"/>
      <c r="AH83" s="2"/>
      <c r="BG83" s="2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8"/>
      <c r="CD83" s="47"/>
      <c r="CE83" s="47"/>
      <c r="CF83" s="47"/>
      <c r="CG83" s="47"/>
    </row>
    <row r="84" spans="1:85" x14ac:dyDescent="0.3">
      <c r="P84" s="2"/>
      <c r="AH84" s="2"/>
      <c r="BG84" s="2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8"/>
      <c r="CD84" s="47"/>
      <c r="CE84" s="47"/>
      <c r="CF84" s="47"/>
      <c r="CG84" s="47"/>
    </row>
    <row r="85" spans="1:85" x14ac:dyDescent="0.3">
      <c r="A85" s="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47"/>
      <c r="CE85" s="47"/>
      <c r="CF85" s="47"/>
      <c r="CG85" s="47"/>
    </row>
    <row r="86" spans="1:85" x14ac:dyDescent="0.3">
      <c r="A86" s="58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58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</row>
    <row r="87" spans="1:85" x14ac:dyDescent="0.3">
      <c r="A87" s="58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</row>
    <row r="88" spans="1:85" x14ac:dyDescent="0.3">
      <c r="A88" s="58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</row>
    <row r="89" spans="1:85" x14ac:dyDescent="0.3">
      <c r="A89" s="58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1]!RechercherEmissions">
                <anchor moveWithCells="1" sizeWithCells="1">
                  <from>
                    <xdr:col>59</xdr:col>
                    <xdr:colOff>556260</xdr:colOff>
                    <xdr:row>21</xdr:row>
                    <xdr:rowOff>68580</xdr:rowOff>
                  </from>
                  <to>
                    <xdr:col>65</xdr:col>
                    <xdr:colOff>251460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25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total</vt:lpstr>
      <vt:lpstr>Parc Global 23-24 </vt:lpstr>
      <vt:lpstr>Parc global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babinot</dc:creator>
  <cp:lastModifiedBy>mathis babinot</cp:lastModifiedBy>
  <dcterms:created xsi:type="dcterms:W3CDTF">2025-07-11T05:33:32Z</dcterms:created>
  <dcterms:modified xsi:type="dcterms:W3CDTF">2025-07-11T05:35:46Z</dcterms:modified>
</cp:coreProperties>
</file>