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drawings/drawing3.xml" ContentType="application/vnd.openxmlformats-officedocument.drawing+xml"/>
  <Override PartName="/xl/ctrlProps/ctrlProp1.xml" ContentType="application/vnd.ms-excel.controlproperties+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codeName="ThisWorkbook" defaultThemeVersion="166925"/>
  <mc:AlternateContent xmlns:mc="http://schemas.openxmlformats.org/markup-compatibility/2006">
    <mc:Choice Requires="x15">
      <x15ac:absPath xmlns:x15ac="http://schemas.microsoft.com/office/spreadsheetml/2010/11/ac" url="C:\Users\mathi\Desktop\Pro\Finance\Projets\predictive_dashboard\"/>
    </mc:Choice>
  </mc:AlternateContent>
  <xr:revisionPtr revIDLastSave="0" documentId="13_ncr:1_{9C389EE6-4FC6-4E9B-A772-342AC1EBE7BB}" xr6:coauthVersionLast="47" xr6:coauthVersionMax="47" xr10:uidLastSave="{00000000-0000-0000-0000-000000000000}"/>
  <bookViews>
    <workbookView minimized="1" xWindow="0" yWindow="624" windowWidth="17280" windowHeight="8880" activeTab="4" xr2:uid="{93762990-40DD-49AC-AD9F-CF9A41B9363F}"/>
  </bookViews>
  <sheets>
    <sheet name="total" sheetId="2" r:id="rId1"/>
    <sheet name="Parc Global 23-24 " sheetId="1" r:id="rId2"/>
    <sheet name="Parc global 22-23" sheetId="3" r:id="rId3"/>
    <sheet name="Nettoyage" sheetId="4" r:id="rId4"/>
    <sheet name="Modèle" sheetId="5" r:id="rId5"/>
    <sheet name="Kilométrages" sheetId="7" r:id="rId6"/>
    <sheet name="Brouillon" sheetId="9" r:id="rId7"/>
  </sheets>
  <externalReferences>
    <externalReference r:id="rId8"/>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8" i="5" l="1"/>
  <c r="Q28" i="5"/>
  <c r="R28" i="5"/>
  <c r="S28" i="5"/>
  <c r="T28" i="5"/>
  <c r="U28" i="5"/>
  <c r="V28" i="5"/>
  <c r="W28" i="5"/>
  <c r="X28" i="5"/>
  <c r="Y28" i="5"/>
  <c r="Z28" i="5"/>
  <c r="O28" i="5"/>
  <c r="D36" i="5"/>
  <c r="D35" i="5"/>
  <c r="E28" i="5" s="1"/>
  <c r="F28" i="5"/>
  <c r="G28" i="5"/>
  <c r="H28" i="5"/>
  <c r="I28" i="5"/>
  <c r="J28" i="5"/>
  <c r="K28" i="5"/>
  <c r="L28" i="5"/>
  <c r="N28" i="5"/>
  <c r="D28" i="5"/>
  <c r="C28" i="5"/>
  <c r="U13" i="7"/>
  <c r="U14" i="7" s="1"/>
  <c r="S13" i="7"/>
  <c r="Q13" i="7"/>
  <c r="O13" i="7"/>
  <c r="M13" i="7"/>
  <c r="K13" i="7"/>
  <c r="G14" i="7"/>
  <c r="E14" i="7"/>
  <c r="E118" i="9"/>
  <c r="F118" i="9"/>
  <c r="G118" i="9"/>
  <c r="H118" i="9"/>
  <c r="H119" i="9"/>
  <c r="H120" i="9"/>
  <c r="H121" i="9"/>
  <c r="H122" i="9"/>
  <c r="H123" i="9"/>
  <c r="H124" i="9"/>
  <c r="G119" i="9"/>
  <c r="G120" i="9"/>
  <c r="G121" i="9"/>
  <c r="G122" i="9"/>
  <c r="G123" i="9"/>
  <c r="G124" i="9"/>
  <c r="F119" i="9"/>
  <c r="F120" i="9"/>
  <c r="F121" i="9"/>
  <c r="F122" i="9"/>
  <c r="C122" i="9" s="1"/>
  <c r="F123" i="9"/>
  <c r="F124" i="9"/>
  <c r="E119" i="9"/>
  <c r="E120" i="9"/>
  <c r="E121" i="9"/>
  <c r="E122" i="9"/>
  <c r="E123" i="9"/>
  <c r="E124" i="9"/>
  <c r="D120" i="9"/>
  <c r="C120" i="9" s="1"/>
  <c r="D121" i="9"/>
  <c r="D122" i="9"/>
  <c r="D123" i="9"/>
  <c r="D124" i="9"/>
  <c r="C125" i="9"/>
  <c r="C126" i="9"/>
  <c r="C127" i="9"/>
  <c r="C128" i="9"/>
  <c r="C129" i="9"/>
  <c r="C130" i="9"/>
  <c r="C131" i="9"/>
  <c r="C132" i="9"/>
  <c r="C133" i="9"/>
  <c r="C134" i="9"/>
  <c r="C135" i="9"/>
  <c r="C136" i="9"/>
  <c r="C137" i="9"/>
  <c r="C138" i="9"/>
  <c r="C139" i="9"/>
  <c r="C140" i="9"/>
  <c r="C141" i="9"/>
  <c r="C142" i="9"/>
  <c r="C143" i="9"/>
  <c r="C144" i="9"/>
  <c r="C145" i="9"/>
  <c r="C146" i="9"/>
  <c r="C147" i="9"/>
  <c r="C148" i="9"/>
  <c r="C149" i="9"/>
  <c r="C150" i="9"/>
  <c r="C151" i="9"/>
  <c r="C152" i="9"/>
  <c r="C153" i="9"/>
  <c r="C154" i="9"/>
  <c r="C155" i="9"/>
  <c r="C156" i="9"/>
  <c r="C157" i="9"/>
  <c r="C158" i="9"/>
  <c r="C159" i="9"/>
  <c r="C160" i="9"/>
  <c r="C161" i="9"/>
  <c r="C162" i="9"/>
  <c r="C163" i="9"/>
  <c r="H164" i="9"/>
  <c r="G164" i="9"/>
  <c r="F164" i="9"/>
  <c r="H163" i="9"/>
  <c r="G163" i="9"/>
  <c r="F163" i="9"/>
  <c r="H162" i="9"/>
  <c r="G162" i="9"/>
  <c r="F162" i="9"/>
  <c r="H161" i="9"/>
  <c r="G161" i="9"/>
  <c r="F161" i="9"/>
  <c r="H160" i="9"/>
  <c r="G160" i="9"/>
  <c r="F160" i="9"/>
  <c r="H159" i="9"/>
  <c r="G159" i="9"/>
  <c r="F159" i="9"/>
  <c r="H158" i="9"/>
  <c r="G158" i="9"/>
  <c r="F158" i="9"/>
  <c r="H157" i="9"/>
  <c r="G157" i="9"/>
  <c r="F157" i="9"/>
  <c r="H156" i="9"/>
  <c r="G156" i="9"/>
  <c r="F156" i="9"/>
  <c r="H155" i="9"/>
  <c r="G155" i="9"/>
  <c r="F155" i="9"/>
  <c r="H154" i="9"/>
  <c r="G154" i="9"/>
  <c r="F154" i="9"/>
  <c r="H153" i="9"/>
  <c r="G153" i="9"/>
  <c r="F153" i="9"/>
  <c r="H152" i="9"/>
  <c r="G152" i="9"/>
  <c r="F152" i="9"/>
  <c r="H151" i="9"/>
  <c r="G151" i="9"/>
  <c r="F151" i="9"/>
  <c r="H150" i="9"/>
  <c r="G150" i="9"/>
  <c r="F150" i="9"/>
  <c r="H149" i="9"/>
  <c r="G149" i="9"/>
  <c r="F149" i="9"/>
  <c r="H148" i="9"/>
  <c r="G148" i="9"/>
  <c r="F148" i="9"/>
  <c r="H147" i="9"/>
  <c r="G147" i="9"/>
  <c r="F147" i="9"/>
  <c r="H146" i="9"/>
  <c r="G146" i="9"/>
  <c r="F146" i="9"/>
  <c r="H145" i="9"/>
  <c r="G145" i="9"/>
  <c r="F145" i="9"/>
  <c r="H144" i="9"/>
  <c r="G144" i="9"/>
  <c r="F144" i="9"/>
  <c r="H143" i="9"/>
  <c r="G143" i="9"/>
  <c r="F143" i="9"/>
  <c r="H142" i="9"/>
  <c r="G142" i="9"/>
  <c r="F142" i="9"/>
  <c r="H141" i="9"/>
  <c r="G141" i="9"/>
  <c r="F141" i="9"/>
  <c r="H140" i="9"/>
  <c r="G140" i="9"/>
  <c r="F140" i="9"/>
  <c r="H139" i="9"/>
  <c r="G139" i="9"/>
  <c r="F139" i="9"/>
  <c r="H138" i="9"/>
  <c r="G138" i="9"/>
  <c r="F138" i="9"/>
  <c r="H137" i="9"/>
  <c r="G137" i="9"/>
  <c r="F137" i="9"/>
  <c r="H136" i="9"/>
  <c r="G136" i="9"/>
  <c r="F136" i="9"/>
  <c r="H135" i="9"/>
  <c r="G135" i="9"/>
  <c r="F135" i="9"/>
  <c r="H134" i="9"/>
  <c r="G134" i="9"/>
  <c r="F134" i="9"/>
  <c r="H133" i="9"/>
  <c r="G133" i="9"/>
  <c r="F133" i="9"/>
  <c r="H132" i="9"/>
  <c r="G132" i="9"/>
  <c r="F132" i="9"/>
  <c r="H131" i="9"/>
  <c r="G131" i="9"/>
  <c r="F131" i="9"/>
  <c r="H130" i="9"/>
  <c r="G130" i="9"/>
  <c r="F130" i="9"/>
  <c r="H129" i="9"/>
  <c r="G129" i="9"/>
  <c r="F129" i="9"/>
  <c r="H128" i="9"/>
  <c r="G128" i="9"/>
  <c r="F128" i="9"/>
  <c r="H127" i="9"/>
  <c r="G127" i="9"/>
  <c r="F127" i="9"/>
  <c r="H126" i="9"/>
  <c r="G126" i="9"/>
  <c r="F126" i="9"/>
  <c r="H125" i="9"/>
  <c r="G125" i="9"/>
  <c r="F125" i="9"/>
  <c r="F166" i="9"/>
  <c r="E166" i="9"/>
  <c r="E125" i="9"/>
  <c r="E126" i="9"/>
  <c r="E127" i="9"/>
  <c r="E128" i="9"/>
  <c r="E129" i="9"/>
  <c r="E130" i="9"/>
  <c r="E131" i="9"/>
  <c r="E132" i="9"/>
  <c r="E133" i="9"/>
  <c r="E134" i="9"/>
  <c r="E135" i="9"/>
  <c r="E136" i="9"/>
  <c r="E137" i="9"/>
  <c r="E138" i="9"/>
  <c r="E139" i="9"/>
  <c r="E140" i="9"/>
  <c r="E141" i="9"/>
  <c r="E142" i="9"/>
  <c r="E143" i="9"/>
  <c r="E144" i="9"/>
  <c r="E145" i="9"/>
  <c r="E146" i="9"/>
  <c r="E147" i="9"/>
  <c r="E148" i="9"/>
  <c r="E149" i="9"/>
  <c r="E150" i="9"/>
  <c r="E151" i="9"/>
  <c r="E152" i="9"/>
  <c r="E153" i="9"/>
  <c r="E154" i="9"/>
  <c r="E155" i="9"/>
  <c r="E156" i="9"/>
  <c r="E157" i="9"/>
  <c r="E158" i="9"/>
  <c r="E159" i="9"/>
  <c r="E160" i="9"/>
  <c r="E161" i="9"/>
  <c r="E162" i="9"/>
  <c r="E163" i="9"/>
  <c r="E16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19" i="9"/>
  <c r="D118" i="9"/>
  <c r="C121" i="9"/>
  <c r="D117" i="9"/>
  <c r="E117" i="9"/>
  <c r="F117" i="9"/>
  <c r="G117" i="9"/>
  <c r="H117" i="9"/>
  <c r="E169" i="9"/>
  <c r="F169" i="9"/>
  <c r="D169" i="9"/>
  <c r="D6" i="9"/>
  <c r="E6" i="9"/>
  <c r="F6" i="9"/>
  <c r="G6" i="9"/>
  <c r="H6" i="9"/>
  <c r="D7" i="9"/>
  <c r="C7" i="9" s="1"/>
  <c r="E7" i="9"/>
  <c r="F7" i="9"/>
  <c r="G7" i="9"/>
  <c r="H7" i="9"/>
  <c r="D8" i="9"/>
  <c r="E8" i="9"/>
  <c r="F8" i="9"/>
  <c r="G8" i="9"/>
  <c r="C8" i="9" s="1"/>
  <c r="H8" i="9"/>
  <c r="D9" i="9"/>
  <c r="C9" i="9" s="1"/>
  <c r="E9" i="9"/>
  <c r="F9" i="9"/>
  <c r="G9" i="9"/>
  <c r="H9" i="9"/>
  <c r="D10" i="9"/>
  <c r="E10" i="9"/>
  <c r="C10" i="9" s="1"/>
  <c r="F10" i="9"/>
  <c r="G10" i="9"/>
  <c r="H10" i="9"/>
  <c r="D11" i="9"/>
  <c r="E11" i="9"/>
  <c r="F11" i="9"/>
  <c r="G11" i="9"/>
  <c r="H11" i="9"/>
  <c r="D12" i="9"/>
  <c r="E12" i="9"/>
  <c r="C12" i="9" s="1"/>
  <c r="F12" i="9"/>
  <c r="G12" i="9"/>
  <c r="H12" i="9"/>
  <c r="D13" i="9"/>
  <c r="E13" i="9"/>
  <c r="F13" i="9"/>
  <c r="G13" i="9"/>
  <c r="H13" i="9"/>
  <c r="D14" i="9"/>
  <c r="E14" i="9"/>
  <c r="F14" i="9"/>
  <c r="G14" i="9"/>
  <c r="H14" i="9"/>
  <c r="D15" i="9"/>
  <c r="C15" i="9" s="1"/>
  <c r="E15" i="9"/>
  <c r="F15" i="9"/>
  <c r="G15" i="9"/>
  <c r="H15" i="9"/>
  <c r="D16" i="9"/>
  <c r="E16" i="9"/>
  <c r="F16" i="9"/>
  <c r="G16" i="9"/>
  <c r="C16" i="9" s="1"/>
  <c r="H16" i="9"/>
  <c r="D17" i="9"/>
  <c r="C17" i="9" s="1"/>
  <c r="E17" i="9"/>
  <c r="F17" i="9"/>
  <c r="G17" i="9"/>
  <c r="H17" i="9"/>
  <c r="D18" i="9"/>
  <c r="E18" i="9"/>
  <c r="C18" i="9" s="1"/>
  <c r="F18" i="9"/>
  <c r="G18" i="9"/>
  <c r="H18" i="9"/>
  <c r="D19" i="9"/>
  <c r="E19" i="9"/>
  <c r="F19" i="9"/>
  <c r="G19" i="9"/>
  <c r="H19" i="9"/>
  <c r="D20" i="9"/>
  <c r="E20" i="9"/>
  <c r="C20" i="9" s="1"/>
  <c r="F20" i="9"/>
  <c r="G20" i="9"/>
  <c r="H20" i="9"/>
  <c r="D22" i="9"/>
  <c r="E22" i="9"/>
  <c r="F22" i="9"/>
  <c r="G22" i="9"/>
  <c r="H22" i="9"/>
  <c r="D23" i="9"/>
  <c r="C23" i="9" s="1"/>
  <c r="E23" i="9"/>
  <c r="F23" i="9"/>
  <c r="G23" i="9"/>
  <c r="H23" i="9"/>
  <c r="D24" i="9"/>
  <c r="E24" i="9"/>
  <c r="F24" i="9"/>
  <c r="G24" i="9"/>
  <c r="C24" i="9" s="1"/>
  <c r="H24" i="9"/>
  <c r="D25" i="9"/>
  <c r="C25" i="9" s="1"/>
  <c r="E25" i="9"/>
  <c r="F25" i="9"/>
  <c r="G25" i="9"/>
  <c r="H25" i="9"/>
  <c r="D26" i="9"/>
  <c r="E26" i="9"/>
  <c r="C26" i="9" s="1"/>
  <c r="F26" i="9"/>
  <c r="G26" i="9"/>
  <c r="H26" i="9"/>
  <c r="D27" i="9"/>
  <c r="E27" i="9"/>
  <c r="F27" i="9"/>
  <c r="G27" i="9"/>
  <c r="H27" i="9"/>
  <c r="D28" i="9"/>
  <c r="E28" i="9"/>
  <c r="C28" i="9" s="1"/>
  <c r="F28" i="9"/>
  <c r="G28" i="9"/>
  <c r="H28" i="9"/>
  <c r="D29" i="9"/>
  <c r="E29" i="9"/>
  <c r="F29" i="9"/>
  <c r="G29" i="9"/>
  <c r="H29" i="9"/>
  <c r="D30" i="9"/>
  <c r="E30" i="9"/>
  <c r="F30" i="9"/>
  <c r="G30" i="9"/>
  <c r="H30" i="9"/>
  <c r="D31" i="9"/>
  <c r="C31" i="9" s="1"/>
  <c r="E31" i="9"/>
  <c r="F31" i="9"/>
  <c r="G31" i="9"/>
  <c r="H31" i="9"/>
  <c r="D32" i="9"/>
  <c r="E32" i="9"/>
  <c r="F32" i="9"/>
  <c r="G32" i="9"/>
  <c r="C32" i="9" s="1"/>
  <c r="H32" i="9"/>
  <c r="D33" i="9"/>
  <c r="C33" i="9" s="1"/>
  <c r="E33" i="9"/>
  <c r="F33" i="9"/>
  <c r="G33" i="9"/>
  <c r="H33" i="9"/>
  <c r="D34" i="9"/>
  <c r="E34" i="9"/>
  <c r="C34" i="9" s="1"/>
  <c r="F34" i="9"/>
  <c r="G34" i="9"/>
  <c r="H34" i="9"/>
  <c r="D35" i="9"/>
  <c r="E35" i="9"/>
  <c r="F35" i="9"/>
  <c r="G35" i="9"/>
  <c r="H35" i="9"/>
  <c r="D36" i="9"/>
  <c r="E36" i="9"/>
  <c r="C36" i="9" s="1"/>
  <c r="F36" i="9"/>
  <c r="G36" i="9"/>
  <c r="H36" i="9"/>
  <c r="D37" i="9"/>
  <c r="E37" i="9"/>
  <c r="F37" i="9"/>
  <c r="G37" i="9"/>
  <c r="H37" i="9"/>
  <c r="D38" i="9"/>
  <c r="E38" i="9"/>
  <c r="F38" i="9"/>
  <c r="G38" i="9"/>
  <c r="H38" i="9"/>
  <c r="D39" i="9"/>
  <c r="C39" i="9" s="1"/>
  <c r="E39" i="9"/>
  <c r="F39" i="9"/>
  <c r="G39" i="9"/>
  <c r="H39" i="9"/>
  <c r="D40" i="9"/>
  <c r="E40" i="9"/>
  <c r="F40" i="9"/>
  <c r="G40" i="9"/>
  <c r="C40" i="9" s="1"/>
  <c r="H40" i="9"/>
  <c r="D41" i="9"/>
  <c r="C41" i="9" s="1"/>
  <c r="E41" i="9"/>
  <c r="F41" i="9"/>
  <c r="G41" i="9"/>
  <c r="H41" i="9"/>
  <c r="D42" i="9"/>
  <c r="E42" i="9"/>
  <c r="C42" i="9" s="1"/>
  <c r="F42" i="9"/>
  <c r="G42" i="9"/>
  <c r="H42" i="9"/>
  <c r="D43" i="9"/>
  <c r="E43" i="9"/>
  <c r="F43" i="9"/>
  <c r="G43" i="9"/>
  <c r="H43" i="9"/>
  <c r="D44" i="9"/>
  <c r="E44" i="9"/>
  <c r="C44" i="9" s="1"/>
  <c r="F44" i="9"/>
  <c r="G44" i="9"/>
  <c r="H44" i="9"/>
  <c r="D45" i="9"/>
  <c r="E45" i="9"/>
  <c r="F45" i="9"/>
  <c r="G45" i="9"/>
  <c r="H45" i="9"/>
  <c r="D46" i="9"/>
  <c r="E46" i="9"/>
  <c r="F46" i="9"/>
  <c r="G46" i="9"/>
  <c r="H46" i="9"/>
  <c r="D47" i="9"/>
  <c r="C47" i="9" s="1"/>
  <c r="E47" i="9"/>
  <c r="F47" i="9"/>
  <c r="G47" i="9"/>
  <c r="H47" i="9"/>
  <c r="D48" i="9"/>
  <c r="E48" i="9"/>
  <c r="F48" i="9"/>
  <c r="G48" i="9"/>
  <c r="C48" i="9" s="1"/>
  <c r="H48" i="9"/>
  <c r="D49" i="9"/>
  <c r="C49" i="9" s="1"/>
  <c r="E49" i="9"/>
  <c r="F49" i="9"/>
  <c r="G49" i="9"/>
  <c r="H49" i="9"/>
  <c r="D50" i="9"/>
  <c r="E50" i="9"/>
  <c r="C50" i="9" s="1"/>
  <c r="F50" i="9"/>
  <c r="G50" i="9"/>
  <c r="H50" i="9"/>
  <c r="D51" i="9"/>
  <c r="E51" i="9"/>
  <c r="F51" i="9"/>
  <c r="G51" i="9"/>
  <c r="H51" i="9"/>
  <c r="D52" i="9"/>
  <c r="E52" i="9"/>
  <c r="C52" i="9" s="1"/>
  <c r="F52" i="9"/>
  <c r="G52" i="9"/>
  <c r="H52" i="9"/>
  <c r="D53" i="9"/>
  <c r="E53" i="9"/>
  <c r="F53" i="9"/>
  <c r="G53" i="9"/>
  <c r="H53" i="9"/>
  <c r="D54" i="9"/>
  <c r="E54" i="9"/>
  <c r="F54" i="9"/>
  <c r="G54" i="9"/>
  <c r="H54" i="9"/>
  <c r="D55" i="9"/>
  <c r="C55" i="9" s="1"/>
  <c r="E55" i="9"/>
  <c r="F55" i="9"/>
  <c r="G55" i="9"/>
  <c r="H55" i="9"/>
  <c r="D56" i="9"/>
  <c r="E56" i="9"/>
  <c r="F56" i="9"/>
  <c r="G56" i="9"/>
  <c r="C56" i="9" s="1"/>
  <c r="H56" i="9"/>
  <c r="D57" i="9"/>
  <c r="C57" i="9" s="1"/>
  <c r="E57" i="9"/>
  <c r="F57" i="9"/>
  <c r="G57" i="9"/>
  <c r="H57" i="9"/>
  <c r="D58" i="9"/>
  <c r="E58" i="9"/>
  <c r="C58" i="9" s="1"/>
  <c r="F58" i="9"/>
  <c r="G58" i="9"/>
  <c r="H58" i="9"/>
  <c r="D59" i="9"/>
  <c r="E59" i="9"/>
  <c r="F59" i="9"/>
  <c r="G59" i="9"/>
  <c r="H59" i="9"/>
  <c r="D60" i="9"/>
  <c r="E60" i="9"/>
  <c r="C60" i="9" s="1"/>
  <c r="F60" i="9"/>
  <c r="G60" i="9"/>
  <c r="H60" i="9"/>
  <c r="D61" i="9"/>
  <c r="E61" i="9"/>
  <c r="F61" i="9"/>
  <c r="G61" i="9"/>
  <c r="H61" i="9"/>
  <c r="D62" i="9"/>
  <c r="E62" i="9"/>
  <c r="F62" i="9"/>
  <c r="G62" i="9"/>
  <c r="H62" i="9"/>
  <c r="D63" i="9"/>
  <c r="C63" i="9" s="1"/>
  <c r="E63" i="9"/>
  <c r="F63" i="9"/>
  <c r="G63" i="9"/>
  <c r="H63" i="9"/>
  <c r="D64" i="9"/>
  <c r="E64" i="9"/>
  <c r="F64" i="9"/>
  <c r="G64" i="9"/>
  <c r="C64" i="9" s="1"/>
  <c r="H64" i="9"/>
  <c r="D65" i="9"/>
  <c r="C65" i="9" s="1"/>
  <c r="E65" i="9"/>
  <c r="F65" i="9"/>
  <c r="G65" i="9"/>
  <c r="H65" i="9"/>
  <c r="D66" i="9"/>
  <c r="E66" i="9"/>
  <c r="C66" i="9" s="1"/>
  <c r="F66" i="9"/>
  <c r="G66" i="9"/>
  <c r="H66" i="9"/>
  <c r="D67" i="9"/>
  <c r="E67" i="9"/>
  <c r="F67" i="9"/>
  <c r="G67" i="9"/>
  <c r="H67" i="9"/>
  <c r="D68" i="9"/>
  <c r="E68" i="9"/>
  <c r="C68" i="9" s="1"/>
  <c r="F68" i="9"/>
  <c r="G68" i="9"/>
  <c r="H68" i="9"/>
  <c r="D69" i="9"/>
  <c r="E69" i="9"/>
  <c r="F69" i="9"/>
  <c r="G69" i="9"/>
  <c r="H69" i="9"/>
  <c r="D70" i="9"/>
  <c r="E70" i="9"/>
  <c r="F70" i="9"/>
  <c r="G70" i="9"/>
  <c r="G169" i="9" s="1"/>
  <c r="H70" i="9"/>
  <c r="D71" i="9"/>
  <c r="E71" i="9"/>
  <c r="F71" i="9"/>
  <c r="G71" i="9"/>
  <c r="H71" i="9"/>
  <c r="D72" i="9"/>
  <c r="E72" i="9"/>
  <c r="F72" i="9"/>
  <c r="G72" i="9"/>
  <c r="H72" i="9"/>
  <c r="D73" i="9"/>
  <c r="C73" i="9" s="1"/>
  <c r="E73" i="9"/>
  <c r="F73" i="9"/>
  <c r="G73" i="9"/>
  <c r="H73" i="9"/>
  <c r="D74" i="9"/>
  <c r="E74" i="9"/>
  <c r="F74" i="9"/>
  <c r="G74" i="9"/>
  <c r="H74" i="9"/>
  <c r="D75" i="9"/>
  <c r="E75" i="9"/>
  <c r="F75" i="9"/>
  <c r="G75" i="9"/>
  <c r="H75" i="9"/>
  <c r="D76" i="9"/>
  <c r="E76" i="9"/>
  <c r="C76" i="9" s="1"/>
  <c r="F76" i="9"/>
  <c r="G76" i="9"/>
  <c r="H76" i="9"/>
  <c r="D77" i="9"/>
  <c r="E77" i="9"/>
  <c r="F77" i="9"/>
  <c r="G77" i="9"/>
  <c r="C77" i="9" s="1"/>
  <c r="H77" i="9"/>
  <c r="D78" i="9"/>
  <c r="E78" i="9"/>
  <c r="F78" i="9"/>
  <c r="G78" i="9"/>
  <c r="H78" i="9"/>
  <c r="D79" i="9"/>
  <c r="E79" i="9"/>
  <c r="F79" i="9"/>
  <c r="G79" i="9"/>
  <c r="H79" i="9"/>
  <c r="D80" i="9"/>
  <c r="E80" i="9"/>
  <c r="F80" i="9"/>
  <c r="G80" i="9"/>
  <c r="H80" i="9"/>
  <c r="D81" i="9"/>
  <c r="C81" i="9" s="1"/>
  <c r="E81" i="9"/>
  <c r="F81" i="9"/>
  <c r="G81" i="9"/>
  <c r="H81" i="9"/>
  <c r="D82" i="9"/>
  <c r="E82" i="9"/>
  <c r="F82" i="9"/>
  <c r="G82" i="9"/>
  <c r="H82" i="9"/>
  <c r="D83" i="9"/>
  <c r="E83" i="9"/>
  <c r="F83" i="9"/>
  <c r="G83" i="9"/>
  <c r="H83" i="9"/>
  <c r="D84" i="9"/>
  <c r="E84" i="9"/>
  <c r="C84" i="9" s="1"/>
  <c r="F84" i="9"/>
  <c r="G84" i="9"/>
  <c r="H84" i="9"/>
  <c r="D85" i="9"/>
  <c r="E85" i="9"/>
  <c r="F85" i="9"/>
  <c r="G85" i="9"/>
  <c r="C85" i="9" s="1"/>
  <c r="H85" i="9"/>
  <c r="D86" i="9"/>
  <c r="E86" i="9"/>
  <c r="F86" i="9"/>
  <c r="G86" i="9"/>
  <c r="H86" i="9"/>
  <c r="D87" i="9"/>
  <c r="E87" i="9"/>
  <c r="F87" i="9"/>
  <c r="G87" i="9"/>
  <c r="H87" i="9"/>
  <c r="D88" i="9"/>
  <c r="E88" i="9"/>
  <c r="F88" i="9"/>
  <c r="G88" i="9"/>
  <c r="H88" i="9"/>
  <c r="D89" i="9"/>
  <c r="C89" i="9" s="1"/>
  <c r="E89" i="9"/>
  <c r="F89" i="9"/>
  <c r="G89" i="9"/>
  <c r="H89" i="9"/>
  <c r="D90" i="9"/>
  <c r="E90" i="9"/>
  <c r="F90" i="9"/>
  <c r="G90" i="9"/>
  <c r="H90" i="9"/>
  <c r="D91" i="9"/>
  <c r="E91" i="9"/>
  <c r="F91" i="9"/>
  <c r="G91" i="9"/>
  <c r="H91" i="9"/>
  <c r="D92" i="9"/>
  <c r="E92" i="9"/>
  <c r="C92" i="9" s="1"/>
  <c r="F92" i="9"/>
  <c r="G92" i="9"/>
  <c r="H92" i="9"/>
  <c r="D93" i="9"/>
  <c r="E93" i="9"/>
  <c r="F93" i="9"/>
  <c r="G93" i="9"/>
  <c r="C93" i="9" s="1"/>
  <c r="H93" i="9"/>
  <c r="D94" i="9"/>
  <c r="E94" i="9"/>
  <c r="F94" i="9"/>
  <c r="G94" i="9"/>
  <c r="H94" i="9"/>
  <c r="D95" i="9"/>
  <c r="E95" i="9"/>
  <c r="F95" i="9"/>
  <c r="G95" i="9"/>
  <c r="H95" i="9"/>
  <c r="D96" i="9"/>
  <c r="E96" i="9"/>
  <c r="F96" i="9"/>
  <c r="G96" i="9"/>
  <c r="H96" i="9"/>
  <c r="D97" i="9"/>
  <c r="C97" i="9" s="1"/>
  <c r="E97" i="9"/>
  <c r="F97" i="9"/>
  <c r="G97" i="9"/>
  <c r="H97" i="9"/>
  <c r="D98" i="9"/>
  <c r="E98" i="9"/>
  <c r="F98" i="9"/>
  <c r="G98" i="9"/>
  <c r="H98" i="9"/>
  <c r="D99" i="9"/>
  <c r="E99" i="9"/>
  <c r="F99" i="9"/>
  <c r="G99" i="9"/>
  <c r="H99" i="9"/>
  <c r="D100" i="9"/>
  <c r="E100" i="9"/>
  <c r="C100" i="9" s="1"/>
  <c r="F100" i="9"/>
  <c r="G100" i="9"/>
  <c r="H100" i="9"/>
  <c r="D101" i="9"/>
  <c r="E101" i="9"/>
  <c r="F101" i="9"/>
  <c r="G101" i="9"/>
  <c r="C101" i="9" s="1"/>
  <c r="H101" i="9"/>
  <c r="D102" i="9"/>
  <c r="E102" i="9"/>
  <c r="F102" i="9"/>
  <c r="G102" i="9"/>
  <c r="H102" i="9"/>
  <c r="D104" i="9"/>
  <c r="E104" i="9"/>
  <c r="F104" i="9"/>
  <c r="G104" i="9"/>
  <c r="H104" i="9"/>
  <c r="D105" i="9"/>
  <c r="E105" i="9"/>
  <c r="F105" i="9"/>
  <c r="G105" i="9"/>
  <c r="H105" i="9"/>
  <c r="D106" i="9"/>
  <c r="E106" i="9"/>
  <c r="C106" i="9" s="1"/>
  <c r="F106" i="9"/>
  <c r="G106" i="9"/>
  <c r="H106" i="9"/>
  <c r="D107" i="9"/>
  <c r="E107" i="9"/>
  <c r="F107" i="9"/>
  <c r="G107" i="9"/>
  <c r="C107" i="9" s="1"/>
  <c r="H107" i="9"/>
  <c r="D108" i="9"/>
  <c r="E108" i="9"/>
  <c r="F108" i="9"/>
  <c r="G108" i="9"/>
  <c r="H108" i="9"/>
  <c r="D109" i="9"/>
  <c r="E109" i="9"/>
  <c r="F109" i="9"/>
  <c r="G109" i="9"/>
  <c r="C109" i="9" s="1"/>
  <c r="H109" i="9"/>
  <c r="D110" i="9"/>
  <c r="E110" i="9"/>
  <c r="F110" i="9"/>
  <c r="G110" i="9"/>
  <c r="H110" i="9"/>
  <c r="D111" i="9"/>
  <c r="C111" i="9" s="1"/>
  <c r="E111" i="9"/>
  <c r="F111" i="9"/>
  <c r="G111" i="9"/>
  <c r="H111" i="9"/>
  <c r="D112" i="9"/>
  <c r="E112" i="9"/>
  <c r="F112" i="9"/>
  <c r="G112" i="9"/>
  <c r="H112" i="9"/>
  <c r="D114" i="9"/>
  <c r="E114" i="9"/>
  <c r="F114" i="9"/>
  <c r="G114" i="9"/>
  <c r="H114" i="9"/>
  <c r="E4" i="9"/>
  <c r="F4" i="9"/>
  <c r="G4" i="9"/>
  <c r="H4" i="9"/>
  <c r="E5" i="9"/>
  <c r="C5" i="9" s="1"/>
  <c r="F5" i="9"/>
  <c r="G5" i="9"/>
  <c r="H5" i="9"/>
  <c r="D5" i="9"/>
  <c r="D4" i="9"/>
  <c r="C6" i="9"/>
  <c r="C11" i="9"/>
  <c r="C13" i="9"/>
  <c r="C14" i="9"/>
  <c r="C19" i="9"/>
  <c r="C22" i="9"/>
  <c r="C27" i="9"/>
  <c r="C29" i="9"/>
  <c r="C30" i="9"/>
  <c r="C35" i="9"/>
  <c r="C37" i="9"/>
  <c r="C38" i="9"/>
  <c r="C43" i="9"/>
  <c r="C45" i="9"/>
  <c r="C46" i="9"/>
  <c r="C51" i="9"/>
  <c r="C53" i="9"/>
  <c r="C54" i="9"/>
  <c r="C59" i="9"/>
  <c r="C61" i="9"/>
  <c r="C62" i="9"/>
  <c r="C67" i="9"/>
  <c r="C69" i="9"/>
  <c r="C70" i="9"/>
  <c r="C75" i="9"/>
  <c r="C78" i="9"/>
  <c r="C83" i="9"/>
  <c r="C86" i="9"/>
  <c r="C91" i="9"/>
  <c r="C94" i="9"/>
  <c r="C99" i="9"/>
  <c r="C102" i="9"/>
  <c r="C110" i="9"/>
  <c r="C117" i="9"/>
  <c r="C4" i="9"/>
  <c r="Q161" i="9"/>
  <c r="Q162" i="9"/>
  <c r="Q163" i="9"/>
  <c r="Q5" i="9"/>
  <c r="Q6" i="9"/>
  <c r="Q7" i="9"/>
  <c r="Q8" i="9"/>
  <c r="Q9" i="9"/>
  <c r="Q10" i="9"/>
  <c r="Q11" i="9"/>
  <c r="Q12" i="9"/>
  <c r="Q13" i="9"/>
  <c r="Q14" i="9"/>
  <c r="Q15" i="9"/>
  <c r="Q16" i="9"/>
  <c r="Q17" i="9"/>
  <c r="Q18" i="9"/>
  <c r="Q19" i="9"/>
  <c r="Q20" i="9"/>
  <c r="Q21" i="9"/>
  <c r="Q22" i="9"/>
  <c r="Q23" i="9"/>
  <c r="Q24" i="9"/>
  <c r="Q25" i="9"/>
  <c r="Q26" i="9"/>
  <c r="Q27" i="9"/>
  <c r="Q28" i="9"/>
  <c r="Q29" i="9"/>
  <c r="Q30" i="9"/>
  <c r="Q31" i="9"/>
  <c r="Q32" i="9"/>
  <c r="Q33" i="9"/>
  <c r="Q34" i="9"/>
  <c r="Q35" i="9"/>
  <c r="Q36" i="9"/>
  <c r="Q37" i="9"/>
  <c r="Q38" i="9"/>
  <c r="Q39" i="9"/>
  <c r="Q40" i="9"/>
  <c r="Q41" i="9"/>
  <c r="Q42" i="9"/>
  <c r="Q43" i="9"/>
  <c r="Q44" i="9"/>
  <c r="Q45" i="9"/>
  <c r="Q46" i="9"/>
  <c r="Q47" i="9"/>
  <c r="Q48" i="9"/>
  <c r="Q49" i="9"/>
  <c r="Q50" i="9"/>
  <c r="Q51" i="9"/>
  <c r="Q52" i="9"/>
  <c r="Q53" i="9"/>
  <c r="Q54" i="9"/>
  <c r="Q55" i="9"/>
  <c r="Q56" i="9"/>
  <c r="Q57" i="9"/>
  <c r="Q58" i="9"/>
  <c r="Q59" i="9"/>
  <c r="Q60" i="9"/>
  <c r="Q61" i="9"/>
  <c r="Q62" i="9"/>
  <c r="Q63" i="9"/>
  <c r="Q64" i="9"/>
  <c r="Q65" i="9"/>
  <c r="Q66" i="9"/>
  <c r="Q67" i="9"/>
  <c r="Q68" i="9"/>
  <c r="Q69" i="9"/>
  <c r="Q70" i="9"/>
  <c r="Q71" i="9"/>
  <c r="Q72" i="9"/>
  <c r="Q73" i="9"/>
  <c r="Q74" i="9"/>
  <c r="Q75" i="9"/>
  <c r="Q76"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Q124" i="9"/>
  <c r="Q125" i="9"/>
  <c r="Q126" i="9"/>
  <c r="Q127" i="9"/>
  <c r="Q128" i="9"/>
  <c r="Q129" i="9"/>
  <c r="Q130" i="9"/>
  <c r="Q131" i="9"/>
  <c r="Q132" i="9"/>
  <c r="Q133" i="9"/>
  <c r="Q134" i="9"/>
  <c r="Q135" i="9"/>
  <c r="Q136" i="9"/>
  <c r="Q137" i="9"/>
  <c r="Q138" i="9"/>
  <c r="Q139" i="9"/>
  <c r="Q140" i="9"/>
  <c r="Q141" i="9"/>
  <c r="Q142" i="9"/>
  <c r="Q143" i="9"/>
  <c r="Q144" i="9"/>
  <c r="Q145" i="9"/>
  <c r="Q146" i="9"/>
  <c r="Q147" i="9"/>
  <c r="Q148" i="9"/>
  <c r="Q149" i="9"/>
  <c r="Q150" i="9"/>
  <c r="Q151" i="9"/>
  <c r="Q152" i="9"/>
  <c r="Q153" i="9"/>
  <c r="Q154" i="9"/>
  <c r="Q155" i="9"/>
  <c r="Q156" i="9"/>
  <c r="Q157" i="9"/>
  <c r="Q158" i="9"/>
  <c r="Q159" i="9"/>
  <c r="Q160" i="9"/>
  <c r="Q4" i="9"/>
  <c r="N112" i="9"/>
  <c r="N104" i="9"/>
  <c r="N96" i="9"/>
  <c r="N77" i="9"/>
  <c r="Q77" i="9" s="1"/>
  <c r="N39" i="9"/>
  <c r="M28" i="5" l="1"/>
  <c r="C123" i="9"/>
  <c r="C124" i="9"/>
  <c r="G166" i="9"/>
  <c r="D166" i="9"/>
  <c r="C119" i="9"/>
  <c r="H166" i="9"/>
  <c r="C118" i="9"/>
  <c r="C98" i="9"/>
  <c r="C96" i="9"/>
  <c r="C95" i="9"/>
  <c r="C90" i="9"/>
  <c r="C88" i="9"/>
  <c r="C87" i="9"/>
  <c r="C82" i="9"/>
  <c r="C80" i="9"/>
  <c r="C79" i="9"/>
  <c r="C74" i="9"/>
  <c r="C72" i="9"/>
  <c r="C71" i="9"/>
  <c r="C114" i="9"/>
  <c r="H169" i="9"/>
  <c r="I169" i="9" s="1"/>
  <c r="C108" i="9"/>
  <c r="C105" i="9"/>
  <c r="C112" i="9"/>
  <c r="C104" i="9"/>
  <c r="I166" i="9" l="1"/>
  <c r="P14" i="4" l="1"/>
  <c r="P17" i="4"/>
  <c r="P16" i="4"/>
  <c r="P15" i="4"/>
  <c r="BD78" i="3"/>
  <c r="BC78" i="3"/>
  <c r="AK63" i="3" s="1" a="1"/>
  <c r="AK63" i="3" s="1"/>
  <c r="AP65" i="3" s="1"/>
  <c r="BB78" i="3"/>
  <c r="X63" i="3"/>
  <c r="X62" i="3"/>
  <c r="S61" i="3"/>
  <c r="S60" i="3"/>
  <c r="F59" i="3"/>
  <c r="B59" i="3"/>
  <c r="F61" i="3" s="1"/>
  <c r="AW57" i="3"/>
  <c r="B57" i="3"/>
  <c r="AU56" i="3"/>
  <c r="AT56" i="3"/>
  <c r="AS56" i="3"/>
  <c r="AR56" i="3"/>
  <c r="AK64" i="3" s="1"/>
  <c r="AP66" i="3" s="1"/>
  <c r="AS55" i="3"/>
  <c r="AR55" i="3"/>
  <c r="AE54" i="3"/>
  <c r="AD54" i="3"/>
  <c r="N54" i="3"/>
  <c r="M54" i="3"/>
  <c r="B58" i="3" s="1"/>
  <c r="F60" i="3" s="1"/>
  <c r="F63" i="3" s="1"/>
  <c r="AE53" i="3"/>
  <c r="AD53" i="3"/>
  <c r="AA53" i="3"/>
  <c r="S59" i="3" s="1"/>
  <c r="X61" i="3" s="1"/>
  <c r="N53" i="3"/>
  <c r="M53" i="3"/>
  <c r="BE48" i="3"/>
  <c r="BD48" i="3"/>
  <c r="AK44" i="3" s="1" a="1"/>
  <c r="AK44" i="3" s="1"/>
  <c r="AP46" i="3" s="1"/>
  <c r="AP49" i="3" s="1"/>
  <c r="F46" i="3"/>
  <c r="S45" i="3"/>
  <c r="X47" i="3" s="1"/>
  <c r="F45" i="3"/>
  <c r="F48" i="3" s="1"/>
  <c r="B44" i="3"/>
  <c r="B43" i="3"/>
  <c r="AX42" i="3"/>
  <c r="AW42" i="3"/>
  <c r="BB41" i="3"/>
  <c r="BA41" i="3"/>
  <c r="AZ41" i="3"/>
  <c r="AU39" i="3"/>
  <c r="AT39" i="3"/>
  <c r="AS39" i="3"/>
  <c r="AK45" i="3" s="1"/>
  <c r="AP47" i="3" s="1"/>
  <c r="AR39" i="3"/>
  <c r="AD39" i="3"/>
  <c r="S44" i="3" s="1"/>
  <c r="X46" i="3" s="1"/>
  <c r="N39" i="3"/>
  <c r="M39" i="3"/>
  <c r="AU38" i="3"/>
  <c r="AT38" i="3"/>
  <c r="AS38" i="3"/>
  <c r="AE38" i="3"/>
  <c r="S43" i="3" s="1"/>
  <c r="X45" i="3" s="1"/>
  <c r="AD38" i="3"/>
  <c r="M38" i="3"/>
  <c r="J38" i="3"/>
  <c r="B42" i="3" s="1"/>
  <c r="F44" i="3" s="1"/>
  <c r="X31" i="3"/>
  <c r="S29" i="3"/>
  <c r="B29" i="3"/>
  <c r="F31" i="3" s="1"/>
  <c r="B28" i="3"/>
  <c r="F30" i="3" s="1"/>
  <c r="F33" i="3" s="1"/>
  <c r="S27" i="3"/>
  <c r="X29" i="3" s="1"/>
  <c r="B27" i="3"/>
  <c r="F29" i="3" s="1"/>
  <c r="AR25" i="3"/>
  <c r="AK27" i="3" s="1" a="1"/>
  <c r="AK27" i="3" s="1"/>
  <c r="AP29" i="3" s="1"/>
  <c r="AY23" i="3"/>
  <c r="AK28" i="3" s="1"/>
  <c r="AP30" i="3" s="1"/>
  <c r="AT23" i="3"/>
  <c r="AF22" i="3"/>
  <c r="S28" i="3" s="1"/>
  <c r="X30" i="3" s="1"/>
  <c r="X33" i="3" s="1"/>
  <c r="N22" i="3"/>
  <c r="M22" i="3"/>
  <c r="G22" i="3"/>
  <c r="AW21" i="3"/>
  <c r="AV21" i="3"/>
  <c r="AF21" i="3"/>
  <c r="AE21" i="3"/>
  <c r="AC21" i="3"/>
  <c r="AB21" i="3"/>
  <c r="F14" i="3"/>
  <c r="B12" i="3"/>
  <c r="AK10" i="3"/>
  <c r="AP12" i="3" s="1"/>
  <c r="AK9" i="3"/>
  <c r="AP11" i="3" s="1"/>
  <c r="S9" i="3"/>
  <c r="X11" i="3" s="1"/>
  <c r="AE5" i="3"/>
  <c r="AD5" i="3"/>
  <c r="S10" i="3" s="1"/>
  <c r="X12" i="3" s="1"/>
  <c r="N5" i="3"/>
  <c r="B11" i="3" s="1"/>
  <c r="F13" i="3" s="1"/>
  <c r="AY4" i="3"/>
  <c r="AX4" i="3"/>
  <c r="AE4" i="3"/>
  <c r="AD4" i="3"/>
  <c r="N4" i="3"/>
  <c r="M4" i="3"/>
  <c r="K4" i="3"/>
  <c r="B10" i="3" s="1" a="1"/>
  <c r="B10" i="3" s="1"/>
  <c r="F12" i="3" s="1"/>
  <c r="AY3" i="3"/>
  <c r="AX3" i="3"/>
  <c r="AV3" i="3"/>
  <c r="AU3" i="3"/>
  <c r="AK8" i="3" s="1"/>
  <c r="AP10" i="3" s="1"/>
  <c r="AE3" i="3"/>
  <c r="AD3" i="3"/>
  <c r="S8" i="3" s="1"/>
  <c r="X10" i="3" s="1"/>
  <c r="P18" i="2"/>
  <c r="D8" i="2" s="1"/>
  <c r="F8" i="2" s="1"/>
  <c r="F14" i="2"/>
  <c r="F13" i="2"/>
  <c r="E12" i="2"/>
  <c r="F12" i="2" s="1"/>
  <c r="P11" i="2"/>
  <c r="K11" i="2"/>
  <c r="K9" i="2"/>
  <c r="K8" i="2"/>
  <c r="K16" i="2" s="1"/>
  <c r="E7" i="2"/>
  <c r="V60" i="1"/>
  <c r="U60" i="1"/>
  <c r="T60" i="1"/>
  <c r="C45" i="1" a="1"/>
  <c r="C45" i="1" s="1"/>
  <c r="K47" i="1" s="1"/>
  <c r="H50" i="1" s="1"/>
  <c r="AJ44" i="1"/>
  <c r="AQ39" i="1"/>
  <c r="AC39" i="1"/>
  <c r="O39" i="1"/>
  <c r="M38" i="1"/>
  <c r="L38" i="1"/>
  <c r="K38" i="1"/>
  <c r="J38" i="1"/>
  <c r="C46" i="1" s="1"/>
  <c r="K48" i="1" s="1"/>
  <c r="AQ37" i="1"/>
  <c r="AQ44" i="1" s="1"/>
  <c r="AC37" i="1"/>
  <c r="AC44" i="1" s="1"/>
  <c r="K37" i="1"/>
  <c r="J37" i="1"/>
  <c r="AQ35" i="1"/>
  <c r="W30" i="1"/>
  <c r="V30" i="1"/>
  <c r="AJ29" i="1"/>
  <c r="AC27" i="1"/>
  <c r="AQ25" i="1"/>
  <c r="AQ28" i="1" s="1"/>
  <c r="AJ25" i="1"/>
  <c r="AC24" i="1"/>
  <c r="P24" i="1"/>
  <c r="O24" i="1"/>
  <c r="C26" i="1" s="1" a="1"/>
  <c r="C26" i="1" s="1"/>
  <c r="K28" i="1" s="1"/>
  <c r="H31" i="1" s="1"/>
  <c r="AQ23" i="1"/>
  <c r="AJ23" i="1"/>
  <c r="T23" i="1"/>
  <c r="S23" i="1"/>
  <c r="R23" i="1"/>
  <c r="AC22" i="1"/>
  <c r="AQ21" i="1"/>
  <c r="M21" i="1"/>
  <c r="L21" i="1"/>
  <c r="K21" i="1"/>
  <c r="J21" i="1"/>
  <c r="C27" i="1" s="1"/>
  <c r="K29" i="1" s="1"/>
  <c r="M20" i="1"/>
  <c r="L20" i="1"/>
  <c r="K20" i="1"/>
  <c r="C9" i="1" a="1"/>
  <c r="C9" i="1" s="1"/>
  <c r="K11" i="1" s="1"/>
  <c r="AJ8" i="1"/>
  <c r="AC8" i="1"/>
  <c r="J7" i="1"/>
  <c r="AJ6" i="1"/>
  <c r="AJ11" i="1" s="1"/>
  <c r="AC6" i="1"/>
  <c r="AC11" i="1" s="1"/>
  <c r="Q5" i="1"/>
  <c r="C10" i="1" s="1"/>
  <c r="K12" i="1" s="1"/>
  <c r="L5" i="1"/>
  <c r="AQ4" i="1"/>
  <c r="AQ11" i="1" s="1"/>
  <c r="O3" i="1"/>
  <c r="N3" i="1"/>
  <c r="BL7" i="3" l="1"/>
  <c r="F16" i="3"/>
  <c r="X14" i="3"/>
  <c r="AP14" i="3"/>
  <c r="AP32" i="3"/>
  <c r="X49" i="3"/>
  <c r="BL6" i="3"/>
  <c r="BL8" i="3"/>
  <c r="AP68" i="3"/>
  <c r="X65" i="3"/>
  <c r="D7" i="2"/>
  <c r="F7" i="2" s="1"/>
  <c r="O36" i="2"/>
  <c r="H49" i="1"/>
  <c r="O48" i="1"/>
  <c r="H48" i="1"/>
  <c r="O47" i="1"/>
  <c r="H47" i="1"/>
  <c r="H29" i="1"/>
  <c r="O28" i="1"/>
  <c r="H30" i="1"/>
  <c r="H28" i="1"/>
  <c r="O29" i="1"/>
  <c r="H14" i="1"/>
  <c r="AJ64" i="1"/>
  <c r="AQ64" i="1"/>
  <c r="K81" i="3" l="1"/>
  <c r="X79" i="3"/>
  <c r="X78" i="3"/>
  <c r="BL3" i="3"/>
  <c r="R67" i="1"/>
  <c r="AC71" i="1"/>
  <c r="AJ68" i="1"/>
  <c r="AC68" i="1" s="1"/>
  <c r="AQ67" i="1"/>
  <c r="AC64" i="1" s="1"/>
  <c r="O11" i="1"/>
  <c r="I69" i="1" s="1"/>
  <c r="H13" i="1"/>
  <c r="O12" i="1"/>
  <c r="I64" i="1" s="1"/>
  <c r="H11" i="1"/>
  <c r="H12" i="1"/>
  <c r="AC52" i="1" s="1"/>
  <c r="AC54" i="1" l="1"/>
  <c r="AH55" i="1"/>
  <c r="I14"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<sst xmlns="http://schemas.openxmlformats.org/spreadsheetml/2006/main" count="750" uniqueCount="138">
  <si>
    <t>Octobre</t>
  </si>
  <si>
    <t>Intermarché PAM</t>
  </si>
  <si>
    <t>Autre intermarché</t>
  </si>
  <si>
    <t>Leclerc</t>
  </si>
  <si>
    <t>Total</t>
  </si>
  <si>
    <t>DKV</t>
  </si>
  <si>
    <t>10-oct</t>
  </si>
  <si>
    <t>20-oct</t>
  </si>
  <si>
    <t>30-oct</t>
  </si>
  <si>
    <t>16-oct</t>
  </si>
  <si>
    <t>31-oct</t>
  </si>
  <si>
    <t>08-oct</t>
  </si>
  <si>
    <t>15-oct</t>
  </si>
  <si>
    <t>23-oct</t>
  </si>
  <si>
    <t>Gasoil</t>
  </si>
  <si>
    <t>Janvier</t>
  </si>
  <si>
    <t>Avril</t>
  </si>
  <si>
    <t>Juillet</t>
  </si>
  <si>
    <t>Essence</t>
  </si>
  <si>
    <t xml:space="preserve">Total émissions véhicules lourds </t>
  </si>
  <si>
    <t>Kg de CO2e</t>
  </si>
  <si>
    <t xml:space="preserve">Total émissions véhicules légers Gasoil </t>
  </si>
  <si>
    <t>Total émissions période véhicules légers Essence</t>
  </si>
  <si>
    <t>TOTAL G</t>
  </si>
  <si>
    <t>Litres</t>
  </si>
  <si>
    <t>Emissions de CO2e</t>
  </si>
  <si>
    <t>TOTAL E</t>
  </si>
  <si>
    <t>BUS</t>
  </si>
  <si>
    <t>Kg</t>
  </si>
  <si>
    <t>Total Intra-Urbain</t>
  </si>
  <si>
    <t>Total Emissions du mois</t>
  </si>
  <si>
    <t>V-L Gasoil</t>
  </si>
  <si>
    <t>Total Inter-Urbain</t>
  </si>
  <si>
    <t>V-L Essence</t>
  </si>
  <si>
    <t>Novembre</t>
  </si>
  <si>
    <t>10-nov</t>
  </si>
  <si>
    <t>20-nov</t>
  </si>
  <si>
    <t>30-nov</t>
  </si>
  <si>
    <t>08-nov</t>
  </si>
  <si>
    <t>15-nov</t>
  </si>
  <si>
    <t>23-nov</t>
  </si>
  <si>
    <t>02-nov</t>
  </si>
  <si>
    <t>16-nov</t>
  </si>
  <si>
    <t>Février</t>
  </si>
  <si>
    <t>Mai</t>
  </si>
  <si>
    <t>Août</t>
  </si>
  <si>
    <t>Décembre</t>
  </si>
  <si>
    <t>Mars</t>
  </si>
  <si>
    <t>Juin</t>
  </si>
  <si>
    <t>Septembre</t>
  </si>
  <si>
    <t>10-déc</t>
  </si>
  <si>
    <t>20-déc</t>
  </si>
  <si>
    <t>30-déc</t>
  </si>
  <si>
    <t>01-déc</t>
  </si>
  <si>
    <t>15-déc</t>
  </si>
  <si>
    <t>31-déc</t>
  </si>
  <si>
    <t>04-déc</t>
  </si>
  <si>
    <t>19-déc</t>
  </si>
  <si>
    <t>Total émissions véhicules lourds Juin</t>
  </si>
  <si>
    <t>08-déc</t>
  </si>
  <si>
    <t>23-déc</t>
  </si>
  <si>
    <t>Total émissions période véhicules légers Gasoil Juin</t>
  </si>
  <si>
    <t>Total émissions période véhicules légers Essence Juin</t>
  </si>
  <si>
    <t>KgCO2e</t>
  </si>
  <si>
    <t>Total émissions CO2e 2023/2024</t>
  </si>
  <si>
    <t>Total émissions CO2e 2023</t>
  </si>
  <si>
    <t>Indicateur d'émissions par rapport au volume d'activité</t>
  </si>
  <si>
    <t>Nom</t>
  </si>
  <si>
    <t>Effectif</t>
  </si>
  <si>
    <t>Kg CO2e</t>
  </si>
  <si>
    <t>CA</t>
  </si>
  <si>
    <t>Rapport Kg CO2e/€</t>
  </si>
  <si>
    <t>Lieu</t>
  </si>
  <si>
    <t>DMA Dupasquier 2024</t>
  </si>
  <si>
    <t>100 à 199</t>
  </si>
  <si>
    <t>Maidières</t>
  </si>
  <si>
    <t>Sources</t>
  </si>
  <si>
    <t>DMA Dupasquier 2023</t>
  </si>
  <si>
    <t>Emissions Bus</t>
  </si>
  <si>
    <t>Comparaison Autres entreprises</t>
  </si>
  <si>
    <t>Emissions V-L</t>
  </si>
  <si>
    <t>Emissions Parc Global</t>
  </si>
  <si>
    <t>Emissions Elec totale</t>
  </si>
  <si>
    <t>Emissions élec</t>
  </si>
  <si>
    <t>Emissions commandes</t>
  </si>
  <si>
    <t>Emissions Commandes</t>
  </si>
  <si>
    <t>Viabus</t>
  </si>
  <si>
    <t>Seine-et-Marne</t>
  </si>
  <si>
    <t>Emissions trajets collaborateurs</t>
  </si>
  <si>
    <t>Linevia</t>
  </si>
  <si>
    <t>200 à 249</t>
  </si>
  <si>
    <t>Morbihan</t>
  </si>
  <si>
    <t>Sodiparc</t>
  </si>
  <si>
    <t>250 à 499</t>
  </si>
  <si>
    <t>La Réunion</t>
  </si>
  <si>
    <t>CA Prévisionnel</t>
  </si>
  <si>
    <t xml:space="preserve">CA </t>
  </si>
  <si>
    <t>Total flotte KM (octobre à septembre)</t>
  </si>
  <si>
    <t>Km</t>
  </si>
  <si>
    <t>2023/2024</t>
  </si>
  <si>
    <t>Kg CO2e/KM</t>
  </si>
  <si>
    <t>Somme totale</t>
  </si>
  <si>
    <t>10-janv</t>
  </si>
  <si>
    <t>20-janv</t>
  </si>
  <si>
    <t>31-janv</t>
  </si>
  <si>
    <t>15-janv</t>
  </si>
  <si>
    <t>Bio-éthanol</t>
  </si>
  <si>
    <t xml:space="preserve">Somme Gasoil </t>
  </si>
  <si>
    <t>Somme Essence</t>
  </si>
  <si>
    <t>Somme Bio</t>
  </si>
  <si>
    <t>TOTAL B</t>
  </si>
  <si>
    <t>Bio</t>
  </si>
  <si>
    <t>10-févr</t>
  </si>
  <si>
    <t>20-févr</t>
  </si>
  <si>
    <t>28-févr</t>
  </si>
  <si>
    <t>15-févr</t>
  </si>
  <si>
    <t>Bus</t>
  </si>
  <si>
    <t>V-L Diesel</t>
  </si>
  <si>
    <t>Ocotbre</t>
  </si>
  <si>
    <t>Année</t>
  </si>
  <si>
    <t>Entités</t>
  </si>
  <si>
    <t>KM</t>
  </si>
  <si>
    <t>V-L</t>
  </si>
  <si>
    <t>Total Parc</t>
  </si>
  <si>
    <t>Total parc</t>
  </si>
  <si>
    <t xml:space="preserve"> -</t>
  </si>
  <si>
    <t>LITRES</t>
  </si>
  <si>
    <t>KMS</t>
  </si>
  <si>
    <t>KM DU MOIS</t>
  </si>
  <si>
    <t>Somme</t>
  </si>
  <si>
    <t>CO2 Emission</t>
  </si>
  <si>
    <t>intensité_mensuelle_km</t>
  </si>
  <si>
    <t>CA Mensuel</t>
  </si>
  <si>
    <t>Comparaison N-1</t>
  </si>
  <si>
    <t>N/A</t>
  </si>
  <si>
    <t>é022/2023 puis 2023/2024</t>
  </si>
  <si>
    <t>CA/Intensité 2023</t>
  </si>
  <si>
    <t>CA/Intensité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</si>
</sst>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0\ &quot;€&quot;"/>
  </numFmts>
  <fonts count="40"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u/>
      <sz val="12"/>
      <color theme="1"/>
      <name val="Calibri"/>
      <family val="2"/>
      <scheme val="minor"/>
    </font>
    <font>
      <b/>
      <u/>
      <sz val="14"/>
      <color theme="1"/>
      <name val="Calibri"/>
      <family val="2"/>
      <scheme val="minor"/>
    </font>
    <font>
      <sz val="24"/>
      <color rgb="FF3F3F76"/>
      <name val="Calibri"/>
      <family val="2"/>
      <scheme val="minor"/>
    </font>
    <font>
      <b/>
      <sz val="24"/>
      <color rgb="FF3F3F76"/>
      <name val="Calibri"/>
      <family val="2"/>
      <scheme val="minor"/>
    </font>
    <font>
      <b/>
      <u/>
      <sz val="24"/>
      <color rgb="FF3F3F76"/>
      <name val="Calibri"/>
      <family val="2"/>
      <scheme val="minor"/>
    </font>
    <font>
      <b/>
      <u/>
      <sz val="14"/>
      <color rgb="FFFF0000"/>
      <name val="Calibri"/>
      <family val="2"/>
      <scheme val="minor"/>
    </font>
    <font>
      <b/>
      <sz val="18"/>
      <color rgb="FFFA7D00"/>
      <name val="Calibri"/>
      <family val="2"/>
      <scheme val="minor"/>
    </font>
    <font>
      <sz val="28"/>
      <color rgb="FF9C5700"/>
      <name val="Calibri"/>
      <family val="2"/>
      <scheme val="minor"/>
    </font>
    <font>
      <b/>
      <sz val="12"/>
      <color rgb="FF006100"/>
      <name val="Calibri"/>
      <family val="2"/>
      <scheme val="minor"/>
    </font>
    <font>
      <b/>
      <sz val="11"/>
      <color rgb="FF006100"/>
      <name val="Calibri"/>
      <family val="2"/>
      <scheme val="minor"/>
    </font>
    <font>
      <sz val="18"/>
      <color rgb="FF006100"/>
      <name val="Calibri"/>
      <family val="2"/>
      <scheme val="minor"/>
    </font>
    <font>
      <sz val="48"/>
      <color rgb="FF006100"/>
      <name val="Calibri"/>
      <family val="2"/>
      <scheme val="minor"/>
    </font>
    <font>
      <b/>
      <u/>
      <sz val="12"/>
      <color rgb="FFFF0000"/>
      <name val="Calibri"/>
      <family val="2"/>
      <scheme val="minor"/>
    </font>
    <font>
      <sz val="12"/>
      <color rgb="FFFA7D00"/>
      <name val="Calibri"/>
      <family val="2"/>
      <scheme val="minor"/>
    </font>
    <font>
      <b/>
      <sz val="14"/>
      <color theme="1"/>
      <name val="Calibri"/>
      <family val="2"/>
      <scheme val="minor"/>
    </font>
    <font>
      <b/>
      <sz val="24"/>
      <color rgb="FF000000"/>
      <name val="Calibri"/>
      <family val="2"/>
    </font>
    <font>
      <b/>
      <u/>
      <sz val="24"/>
      <color rgb="FF000000"/>
      <name val="Calibri"/>
      <family val="2"/>
    </font>
    <font>
      <b/>
      <u/>
      <sz val="11"/>
      <color theme="1"/>
      <name val="Calibri"/>
      <family val="2"/>
      <scheme val="minor"/>
    </font>
    <font>
      <b/>
      <sz val="12"/>
      <color theme="1"/>
      <name val="Calibri"/>
      <family val="2"/>
      <scheme val="minor"/>
    </font>
    <font>
      <b/>
      <u/>
      <sz val="28"/>
      <color theme="1"/>
      <name val="Calibri"/>
      <family val="2"/>
      <scheme val="minor"/>
    </font>
    <font>
      <b/>
      <sz val="24"/>
      <color rgb="FFFA7D00"/>
      <name val="Calibri"/>
      <family val="2"/>
      <scheme val="minor"/>
    </font>
    <font>
      <b/>
      <i/>
      <sz val="22"/>
      <color theme="1"/>
      <name val="Calibri"/>
      <family val="2"/>
      <scheme val="minor"/>
    </font>
    <font>
      <b/>
      <sz val="16"/>
      <color rgb="FFFA7D00"/>
      <name val="Calibri"/>
      <family val="2"/>
      <scheme val="minor"/>
    </font>
    <font>
      <sz val="8"/>
      <name val="Calibri"/>
      <family val="2"/>
      <scheme val="minor"/>
    </font>
    <font>
      <sz val="16"/>
      <color theme="1"/>
      <name val="Calibri"/>
      <family val="2"/>
      <scheme val="minor"/>
    </font>
    <font>
      <sz val="18"/>
      <color theme="1"/>
      <name val="Calibri"/>
      <family val="2"/>
      <scheme val="minor"/>
    </font>
    <font>
      <sz val="18"/>
      <color rgb="FF000000"/>
      <name val="Calibri"/>
      <family val="2"/>
    </font>
    <font>
      <sz val="18"/>
      <color theme="3"/>
      <name val="Calibri"/>
      <family val="2"/>
    </font>
    <font>
      <sz val="18"/>
      <color rgb="FFFF0000"/>
      <name val="Calibri"/>
      <family val="2"/>
    </font>
  </fonts>
  <fills count="1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theme="5"/>
      </patternFill>
    </fill>
    <fill>
      <patternFill patternType="solid">
        <fgColor theme="9"/>
      </patternFill>
    </fill>
    <fill>
      <patternFill patternType="solid">
        <fgColor theme="9"/>
        <bgColor indexed="64"/>
      </patternFill>
    </fill>
    <fill>
      <patternFill patternType="solid">
        <fgColor theme="0"/>
        <bgColor indexed="64"/>
      </patternFill>
    </fill>
    <fill>
      <patternFill patternType="solid">
        <fgColor theme="9" tint="0.79998168889431442"/>
        <bgColor indexed="64"/>
      </patternFill>
    </fill>
    <fill>
      <patternFill patternType="solid">
        <fgColor theme="4"/>
        <bgColor theme="4"/>
      </patternFill>
    </fill>
    <fill>
      <patternFill patternType="solid">
        <fgColor theme="9" tint="0.59999389629810485"/>
        <bgColor indexed="64"/>
      </patternFill>
    </fill>
    <fill>
      <patternFill patternType="solid">
        <fgColor theme="4"/>
      </patternFill>
    </fill>
    <fill>
      <patternFill patternType="solid">
        <fgColor theme="4" tint="0.79998168889431442"/>
        <bgColor indexed="65"/>
      </patternFill>
    </fill>
    <fill>
      <patternFill patternType="solid">
        <fgColor theme="4" tint="0.39997558519241921"/>
        <bgColor indexed="65"/>
      </patternFill>
    </fill>
    <fill>
      <patternFill patternType="solid">
        <fgColor theme="2"/>
        <bgColor indexed="64"/>
      </patternFill>
    </fill>
    <fill>
      <patternFill patternType="solid">
        <fgColor rgb="FF92D050"/>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indexed="64"/>
      </left>
      <right style="thin">
        <color indexed="64"/>
      </right>
      <top style="thin">
        <color indexed="64"/>
      </top>
      <bottom style="thin">
        <color indexed="64"/>
      </bottom>
      <diagonal/>
    </border>
    <border>
      <left/>
      <right/>
      <top/>
      <bottom style="thin">
        <color theme="1"/>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style="double">
        <color rgb="FF000000"/>
      </left>
      <right/>
      <top style="thin">
        <color rgb="FF000000"/>
      </top>
      <bottom style="thin">
        <color rgb="FF000000"/>
      </bottom>
      <diagonal/>
    </border>
  </borders>
  <cellStyleXfs count="13">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6" fillId="6" borderId="1" applyNumberFormat="0" applyAlignment="0" applyProtection="0"/>
    <xf numFmtId="0" fontId="7" fillId="0" borderId="2" applyNumberFormat="0" applyFill="0" applyAlignment="0" applyProtection="0"/>
    <xf numFmtId="0" fontId="10" fillId="7" borderId="0" applyNumberFormat="0" applyBorder="0" applyAlignment="0" applyProtection="0"/>
    <xf numFmtId="0" fontId="10" fillId="8" borderId="0" applyNumberFormat="0" applyBorder="0" applyAlignment="0" applyProtection="0"/>
    <xf numFmtId="0" fontId="1" fillId="0" borderId="0"/>
    <xf numFmtId="0" fontId="10"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cellStyleXfs>
  <cellXfs count="76">
    <xf numFmtId="0" fontId="0" fillId="0" borderId="0" xfId="0"/>
    <xf numFmtId="0" fontId="11" fillId="0" borderId="0" xfId="0" applyFont="1"/>
    <xf numFmtId="0" fontId="0" fillId="9" borderId="0" xfId="0" applyFill="1"/>
    <xf numFmtId="16" fontId="0" fillId="0" borderId="0" xfId="0" applyNumberFormat="1"/>
    <xf numFmtId="0" fontId="3" fillId="3" borderId="0" xfId="2"/>
    <xf numFmtId="0" fontId="12" fillId="0" borderId="0" xfId="0" applyFont="1"/>
    <xf numFmtId="0" fontId="9" fillId="0" borderId="0" xfId="0" applyFont="1"/>
    <xf numFmtId="0" fontId="4" fillId="4" borderId="0" xfId="3"/>
    <xf numFmtId="0" fontId="13" fillId="5" borderId="1" xfId="4" applyFont="1"/>
    <xf numFmtId="4" fontId="14" fillId="5" borderId="1" xfId="4" applyNumberFormat="1" applyFont="1"/>
    <xf numFmtId="4" fontId="15" fillId="5" borderId="1" xfId="4" applyNumberFormat="1" applyFont="1"/>
    <xf numFmtId="0" fontId="16" fillId="0" borderId="0" xfId="0" applyFont="1"/>
    <xf numFmtId="4" fontId="0" fillId="0" borderId="0" xfId="0" applyNumberFormat="1"/>
    <xf numFmtId="0" fontId="2" fillId="2" borderId="3" xfId="1" applyBorder="1"/>
    <xf numFmtId="4" fontId="2" fillId="2" borderId="3" xfId="1" applyNumberFormat="1" applyBorder="1"/>
    <xf numFmtId="0" fontId="17" fillId="6" borderId="1" xfId="5" applyFont="1"/>
    <xf numFmtId="4" fontId="17" fillId="6" borderId="1" xfId="5" applyNumberFormat="1" applyFont="1"/>
    <xf numFmtId="0" fontId="18" fillId="4" borderId="0" xfId="3" applyFont="1"/>
    <xf numFmtId="4" fontId="18" fillId="4" borderId="0" xfId="3" applyNumberFormat="1" applyFont="1"/>
    <xf numFmtId="0" fontId="2" fillId="2" borderId="0" xfId="1"/>
    <xf numFmtId="0" fontId="19" fillId="2" borderId="3" xfId="1" applyFont="1" applyBorder="1"/>
    <xf numFmtId="4" fontId="19" fillId="2" borderId="3" xfId="1" applyNumberFormat="1" applyFont="1" applyBorder="1"/>
    <xf numFmtId="0" fontId="20" fillId="2" borderId="3" xfId="1" applyFont="1" applyBorder="1"/>
    <xf numFmtId="4" fontId="21" fillId="2" borderId="0" xfId="1" applyNumberFormat="1" applyFont="1"/>
    <xf numFmtId="0" fontId="21" fillId="2" borderId="0" xfId="1" applyFont="1"/>
    <xf numFmtId="0" fontId="1" fillId="0" borderId="0" xfId="9"/>
    <xf numFmtId="4" fontId="22" fillId="2" borderId="0" xfId="1" applyNumberFormat="1" applyFont="1"/>
    <xf numFmtId="0" fontId="22" fillId="2" borderId="0" xfId="1" applyFont="1"/>
    <xf numFmtId="0" fontId="1" fillId="9" borderId="0" xfId="9" applyFill="1"/>
    <xf numFmtId="0" fontId="0" fillId="10" borderId="0" xfId="0" applyFill="1"/>
    <xf numFmtId="0" fontId="0" fillId="11" borderId="0" xfId="0" applyFill="1"/>
    <xf numFmtId="0" fontId="23" fillId="0" borderId="0" xfId="0" applyFont="1"/>
    <xf numFmtId="0" fontId="8" fillId="12" borderId="5" xfId="0" applyFont="1" applyFill="1" applyBorder="1"/>
    <xf numFmtId="0" fontId="8" fillId="12" borderId="6" xfId="0" applyFont="1" applyFill="1" applyBorder="1"/>
    <xf numFmtId="0" fontId="8" fillId="12" borderId="7" xfId="0" applyFont="1" applyFill="1" applyBorder="1"/>
    <xf numFmtId="0" fontId="1" fillId="0" borderId="0" xfId="0" applyFont="1"/>
    <xf numFmtId="3" fontId="0" fillId="0" borderId="0" xfId="0" applyNumberFormat="1"/>
    <xf numFmtId="4" fontId="1" fillId="0" borderId="0" xfId="0" applyNumberFormat="1" applyFont="1"/>
    <xf numFmtId="0" fontId="2" fillId="2" borderId="4" xfId="1" applyBorder="1"/>
    <xf numFmtId="4" fontId="2" fillId="2" borderId="4" xfId="1" applyNumberFormat="1" applyBorder="1"/>
    <xf numFmtId="0" fontId="24" fillId="0" borderId="2" xfId="6" applyFont="1"/>
    <xf numFmtId="3" fontId="24" fillId="0" borderId="2" xfId="6" applyNumberFormat="1" applyFont="1"/>
    <xf numFmtId="0" fontId="1" fillId="11" borderId="0" xfId="9" applyFill="1"/>
    <xf numFmtId="0" fontId="25" fillId="7" borderId="8" xfId="7" applyFont="1" applyBorder="1"/>
    <xf numFmtId="0" fontId="10" fillId="7" borderId="9" xfId="7" applyBorder="1"/>
    <xf numFmtId="17" fontId="12" fillId="0" borderId="0" xfId="0" applyNumberFormat="1" applyFont="1"/>
    <xf numFmtId="0" fontId="28" fillId="0" borderId="0" xfId="0" applyFont="1"/>
    <xf numFmtId="0" fontId="1" fillId="13" borderId="0" xfId="9" applyFill="1"/>
    <xf numFmtId="0" fontId="29" fillId="0" borderId="0" xfId="0" applyFont="1"/>
    <xf numFmtId="16" fontId="1" fillId="0" borderId="0" xfId="9" applyNumberFormat="1"/>
    <xf numFmtId="0" fontId="30" fillId="0" borderId="0" xfId="0" applyFont="1"/>
    <xf numFmtId="16" fontId="3" fillId="3" borderId="0" xfId="2" applyNumberFormat="1"/>
    <xf numFmtId="4" fontId="31" fillId="6" borderId="1" xfId="5" applyNumberFormat="1" applyFont="1"/>
    <xf numFmtId="0" fontId="31" fillId="6" borderId="1" xfId="5" applyFont="1"/>
    <xf numFmtId="0" fontId="32" fillId="0" borderId="0" xfId="0" applyFont="1"/>
    <xf numFmtId="0" fontId="33" fillId="6" borderId="1" xfId="5" applyFont="1"/>
    <xf numFmtId="0" fontId="10" fillId="8" borderId="0" xfId="8"/>
    <xf numFmtId="0" fontId="10" fillId="9" borderId="0" xfId="8" applyFill="1"/>
    <xf numFmtId="0" fontId="0" fillId="13" borderId="0" xfId="0" applyFill="1"/>
    <xf numFmtId="0" fontId="10" fillId="14" borderId="0" xfId="10"/>
    <xf numFmtId="3" fontId="1" fillId="15" borderId="0" xfId="11" applyNumberFormat="1"/>
    <xf numFmtId="0" fontId="1" fillId="16" borderId="0" xfId="12"/>
    <xf numFmtId="0" fontId="0" fillId="17" borderId="0" xfId="0" applyFill="1"/>
    <xf numFmtId="0" fontId="35" fillId="0" borderId="0" xfId="0" applyFont="1"/>
    <xf numFmtId="4" fontId="35" fillId="0" borderId="0" xfId="0" applyNumberFormat="1" applyFont="1"/>
    <xf numFmtId="0" fontId="36" fillId="0" borderId="0" xfId="0" applyFont="1"/>
    <xf numFmtId="4" fontId="36" fillId="0" borderId="0" xfId="0" applyNumberFormat="1" applyFont="1"/>
    <xf numFmtId="4" fontId="37" fillId="11" borderId="10" xfId="0" applyNumberFormat="1" applyFont="1" applyFill="1" applyBorder="1" applyAlignment="1">
      <alignment horizontal="center" vertical="center"/>
    </xf>
    <xf numFmtId="4" fontId="38" fillId="11" borderId="3" xfId="0" applyNumberFormat="1" applyFont="1" applyFill="1" applyBorder="1" applyAlignment="1">
      <alignment horizontal="center" vertical="center"/>
    </xf>
    <xf numFmtId="4" fontId="39" fillId="11" borderId="3" xfId="0" applyNumberFormat="1" applyFont="1" applyFill="1" applyBorder="1" applyAlignment="1">
      <alignment horizontal="center" vertical="center"/>
    </xf>
    <xf numFmtId="0" fontId="38" fillId="11" borderId="3" xfId="0" applyFont="1" applyFill="1" applyBorder="1" applyAlignment="1">
      <alignment horizontal="center" vertical="center"/>
    </xf>
    <xf numFmtId="2" fontId="38" fillId="11" borderId="3" xfId="0" applyNumberFormat="1" applyFont="1" applyFill="1" applyBorder="1" applyAlignment="1">
      <alignment horizontal="center" vertical="center"/>
    </xf>
    <xf numFmtId="4" fontId="38" fillId="18" borderId="3" xfId="0" applyNumberFormat="1" applyFont="1" applyFill="1" applyBorder="1" applyAlignment="1">
      <alignment horizontal="center" vertical="center"/>
    </xf>
    <xf numFmtId="2" fontId="38" fillId="18" borderId="3" xfId="0" applyNumberFormat="1" applyFont="1" applyFill="1" applyBorder="1" applyAlignment="1">
      <alignment horizontal="center" vertical="center"/>
    </xf>
    <xf numFmtId="0" fontId="0" fillId="0" borderId="0" xfId="0" applyAlignment="1">
      <alignment horizontal="center" vertical="center"/>
    </xf>
    <xf numFmtId="165" fontId="0" fillId="0" borderId="0" xfId="0" applyNumberFormat="1"/>
  </cellXfs>
  <cellStyles count="13">
    <cellStyle name="20 % - Accent1" xfId="11" builtinId="30"/>
    <cellStyle name="60 % - Accent1" xfId="12" builtinId="32"/>
    <cellStyle name="Accent1" xfId="10" builtinId="29"/>
    <cellStyle name="Accent2" xfId="7" builtinId="33"/>
    <cellStyle name="Accent6" xfId="8" builtinId="49"/>
    <cellStyle name="Calcul" xfId="5" builtinId="22"/>
    <cellStyle name="Cellule liée" xfId="6" builtinId="24"/>
    <cellStyle name="Entrée" xfId="4" builtinId="20"/>
    <cellStyle name="Insatisfaisant" xfId="2" builtinId="27"/>
    <cellStyle name="Neutre" xfId="3" builtinId="28"/>
    <cellStyle name="Normal" xfId="0" builtinId="0"/>
    <cellStyle name="Normal 2" xfId="9" xr:uid="{EC5325A1-4DD5-4744-A541-1285D5913ABB}"/>
    <cellStyle name="Satisfaisant" xfId="1" builtinId="26"/>
  </cellStyles>
  <dxfs count="89">
    <dxf>
      <fill>
        <patternFill patternType="solid">
          <fgColor rgb="FFFFC7CE"/>
          <bgColor rgb="FFFFC7CE"/>
        </patternFill>
      </fill>
    </dxf>
    <dxf>
      <fill>
        <patternFill patternType="solid">
          <fgColor rgb="FFFFC7CE"/>
          <bgColor rgb="FFFFC7CE"/>
        </patternFill>
      </fill>
    </dxf>
    <dxf>
      <fill>
        <patternFill patternType="solid">
          <fgColor rgb="FFFFC7CE"/>
          <bgColor rgb="FFFFC7CE"/>
        </patternFill>
      </fill>
    </dxf>
    <dxf>
      <fill>
        <patternFill patternType="solid">
          <fgColor rgb="FFFFC7CE"/>
          <bgColor rgb="FFFFC7CE"/>
        </patternFill>
      </fill>
    </dxf>
    <dxf>
      <font>
        <b val="0"/>
        <i val="0"/>
        <strike val="0"/>
        <condense val="0"/>
        <extend val="0"/>
        <outline val="0"/>
        <shadow val="0"/>
        <u val="none"/>
        <vertAlign val="baseline"/>
        <sz val="18"/>
        <color theme="1"/>
        <name val="Calibri"/>
        <family val="2"/>
        <scheme val="minor"/>
      </font>
    </dxf>
    <dxf>
      <font>
        <b val="0"/>
        <i val="0"/>
        <strike val="0"/>
        <condense val="0"/>
        <extend val="0"/>
        <outline val="0"/>
        <shadow val="0"/>
        <u val="none"/>
        <vertAlign val="baseline"/>
        <sz val="18"/>
        <color theme="1"/>
        <name val="Calibri"/>
        <family val="2"/>
        <scheme val="minor"/>
      </font>
    </dxf>
    <dxf>
      <font>
        <b val="0"/>
        <i val="0"/>
        <strike val="0"/>
        <condense val="0"/>
        <extend val="0"/>
        <outline val="0"/>
        <shadow val="0"/>
        <u val="none"/>
        <vertAlign val="baseline"/>
        <sz val="18"/>
        <color theme="1"/>
        <name val="Calibri"/>
        <family val="2"/>
        <scheme val="minor"/>
      </font>
    </dxf>
    <dxf>
      <font>
        <b val="0"/>
        <i val="0"/>
        <strike val="0"/>
        <condense val="0"/>
        <extend val="0"/>
        <outline val="0"/>
        <shadow val="0"/>
        <u val="none"/>
        <vertAlign val="baseline"/>
        <sz val="18"/>
        <color theme="1"/>
        <name val="Calibri"/>
        <family val="2"/>
        <scheme val="minor"/>
      </font>
    </dxf>
    <dxf>
      <font>
        <b val="0"/>
        <i val="0"/>
        <strike val="0"/>
        <condense val="0"/>
        <extend val="0"/>
        <outline val="0"/>
        <shadow val="0"/>
        <u val="none"/>
        <vertAlign val="baseline"/>
        <sz val="18"/>
        <color theme="1"/>
        <name val="Calibri"/>
        <family val="2"/>
        <scheme val="minor"/>
      </font>
      <numFmt numFmtId="0" formatCode="General"/>
    </dxf>
    <dxf>
      <font>
        <b val="0"/>
        <i val="0"/>
        <strike val="0"/>
        <condense val="0"/>
        <extend val="0"/>
        <outline val="0"/>
        <shadow val="0"/>
        <u val="none"/>
        <vertAlign val="baseline"/>
        <sz val="18"/>
        <color theme="1"/>
        <name val="Calibri"/>
        <family val="2"/>
        <scheme val="minor"/>
      </font>
      <numFmt numFmtId="0" formatCode="General"/>
    </dxf>
    <dxf>
      <font>
        <b val="0"/>
        <i val="0"/>
        <strike val="0"/>
        <condense val="0"/>
        <extend val="0"/>
        <outline val="0"/>
        <shadow val="0"/>
        <u val="none"/>
        <vertAlign val="baseline"/>
        <sz val="18"/>
        <color theme="1"/>
        <name val="Calibri"/>
        <family val="2"/>
        <scheme val="minor"/>
      </font>
      <numFmt numFmtId="0" formatCode="General"/>
    </dxf>
    <dxf>
      <font>
        <b val="0"/>
        <i val="0"/>
        <strike val="0"/>
        <condense val="0"/>
        <extend val="0"/>
        <outline val="0"/>
        <shadow val="0"/>
        <u val="none"/>
        <vertAlign val="baseline"/>
        <sz val="18"/>
        <color theme="1"/>
        <name val="Calibri"/>
        <family val="2"/>
        <scheme val="minor"/>
      </font>
    </dxf>
    <dxf>
      <font>
        <b val="0"/>
        <i val="0"/>
        <strike val="0"/>
        <condense val="0"/>
        <extend val="0"/>
        <outline val="0"/>
        <shadow val="0"/>
        <u val="none"/>
        <vertAlign val="baseline"/>
        <sz val="18"/>
        <color theme="1"/>
        <name val="Calibri"/>
        <family val="2"/>
        <scheme val="minor"/>
      </font>
      <numFmt numFmtId="0" formatCode="General"/>
    </dxf>
    <dxf>
      <font>
        <b val="0"/>
        <i val="0"/>
        <strike val="0"/>
        <condense val="0"/>
        <extend val="0"/>
        <outline val="0"/>
        <shadow val="0"/>
        <u val="none"/>
        <vertAlign val="baseline"/>
        <sz val="18"/>
        <color theme="1"/>
        <name val="Calibri"/>
        <family val="2"/>
        <scheme val="minor"/>
      </font>
      <numFmt numFmtId="0" formatCode="General"/>
    </dxf>
    <dxf>
      <font>
        <b val="0"/>
        <i val="0"/>
        <strike val="0"/>
        <condense val="0"/>
        <extend val="0"/>
        <outline val="0"/>
        <shadow val="0"/>
        <u val="none"/>
        <vertAlign val="baseline"/>
        <sz val="18"/>
        <color theme="1"/>
        <name val="Calibri"/>
        <family val="2"/>
        <scheme val="minor"/>
      </font>
      <numFmt numFmtId="0" formatCode="General"/>
    </dxf>
    <dxf>
      <font>
        <b val="0"/>
        <i val="0"/>
        <strike val="0"/>
        <condense val="0"/>
        <extend val="0"/>
        <outline val="0"/>
        <shadow val="0"/>
        <u val="none"/>
        <vertAlign val="baseline"/>
        <sz val="18"/>
        <color theme="1"/>
        <name val="Calibri"/>
        <family val="2"/>
        <scheme val="minor"/>
      </font>
    </dxf>
    <dxf>
      <font>
        <b val="0"/>
        <i val="0"/>
        <strike val="0"/>
        <condense val="0"/>
        <extend val="0"/>
        <outline val="0"/>
        <shadow val="0"/>
        <u val="none"/>
        <vertAlign val="baseline"/>
        <sz val="18"/>
        <color theme="1"/>
        <name val="Calibri"/>
        <family val="2"/>
        <scheme val="minor"/>
      </font>
      <numFmt numFmtId="0" formatCode="General"/>
    </dxf>
    <dxf>
      <font>
        <b val="0"/>
        <i val="0"/>
        <strike val="0"/>
        <condense val="0"/>
        <extend val="0"/>
        <outline val="0"/>
        <shadow val="0"/>
        <u val="none"/>
        <vertAlign val="baseline"/>
        <sz val="18"/>
        <color theme="1"/>
        <name val="Calibri"/>
        <family val="2"/>
        <scheme val="minor"/>
      </font>
      <numFmt numFmtId="0" formatCode="General"/>
    </dxf>
    <dxf>
      <font>
        <b val="0"/>
        <i val="0"/>
        <strike val="0"/>
        <condense val="0"/>
        <extend val="0"/>
        <outline val="0"/>
        <shadow val="0"/>
        <u val="none"/>
        <vertAlign val="baseline"/>
        <sz val="18"/>
        <color theme="1"/>
        <name val="Calibri"/>
        <family val="2"/>
        <scheme val="minor"/>
      </font>
      <numFmt numFmtId="0" formatCode="General"/>
    </dxf>
    <dxf>
      <font>
        <b val="0"/>
        <i val="0"/>
        <strike val="0"/>
        <condense val="0"/>
        <extend val="0"/>
        <outline val="0"/>
        <shadow val="0"/>
        <u val="none"/>
        <vertAlign val="baseline"/>
        <sz val="18"/>
        <color theme="1"/>
        <name val="Calibri"/>
        <family val="2"/>
        <scheme val="minor"/>
      </font>
    </dxf>
    <dxf>
      <font>
        <b val="0"/>
        <i val="0"/>
        <strike val="0"/>
        <condense val="0"/>
        <extend val="0"/>
        <outline val="0"/>
        <shadow val="0"/>
        <u val="none"/>
        <vertAlign val="baseline"/>
        <sz val="18"/>
        <color theme="1"/>
        <name val="Calibri"/>
        <family val="2"/>
        <scheme val="minor"/>
      </font>
      <numFmt numFmtId="0" formatCode="General"/>
    </dxf>
    <dxf>
      <font>
        <b val="0"/>
        <i val="0"/>
        <strike val="0"/>
        <condense val="0"/>
        <extend val="0"/>
        <outline val="0"/>
        <shadow val="0"/>
        <u val="none"/>
        <vertAlign val="baseline"/>
        <sz val="18"/>
        <color theme="1"/>
        <name val="Calibri"/>
        <family val="2"/>
        <scheme val="minor"/>
      </font>
      <numFmt numFmtId="0" formatCode="General"/>
    </dxf>
    <dxf>
      <font>
        <b val="0"/>
        <i val="0"/>
        <strike val="0"/>
        <condense val="0"/>
        <extend val="0"/>
        <outline val="0"/>
        <shadow val="0"/>
        <u val="none"/>
        <vertAlign val="baseline"/>
        <sz val="18"/>
        <color theme="1"/>
        <name val="Calibri"/>
        <family val="2"/>
        <scheme val="minor"/>
      </font>
      <numFmt numFmtId="0" formatCode="General"/>
    </dxf>
    <dxf>
      <font>
        <b val="0"/>
        <i val="0"/>
        <strike val="0"/>
        <condense val="0"/>
        <extend val="0"/>
        <outline val="0"/>
        <shadow val="0"/>
        <u val="none"/>
        <vertAlign val="baseline"/>
        <sz val="18"/>
        <color theme="1"/>
        <name val="Calibri"/>
        <family val="2"/>
        <scheme val="minor"/>
      </font>
    </dxf>
    <dxf>
      <font>
        <b val="0"/>
        <i val="0"/>
        <strike val="0"/>
        <condense val="0"/>
        <extend val="0"/>
        <outline val="0"/>
        <shadow val="0"/>
        <u val="none"/>
        <vertAlign val="baseline"/>
        <sz val="18"/>
        <color theme="1"/>
        <name val="Calibri"/>
        <family val="2"/>
        <scheme val="minor"/>
      </font>
      <numFmt numFmtId="0" formatCode="General"/>
    </dxf>
    <dxf>
      <font>
        <b val="0"/>
        <i val="0"/>
        <strike val="0"/>
        <condense val="0"/>
        <extend val="0"/>
        <outline val="0"/>
        <shadow val="0"/>
        <u val="none"/>
        <vertAlign val="baseline"/>
        <sz val="18"/>
        <color theme="1"/>
        <name val="Calibri"/>
        <family val="2"/>
        <scheme val="minor"/>
      </font>
      <numFmt numFmtId="0" formatCode="General"/>
    </dxf>
    <dxf>
      <font>
        <b val="0"/>
        <i val="0"/>
        <strike val="0"/>
        <condense val="0"/>
        <extend val="0"/>
        <outline val="0"/>
        <shadow val="0"/>
        <u val="none"/>
        <vertAlign val="baseline"/>
        <sz val="18"/>
        <color theme="1"/>
        <name val="Calibri"/>
        <family val="2"/>
        <scheme val="minor"/>
      </font>
      <numFmt numFmtId="0" formatCode="General"/>
    </dxf>
    <dxf>
      <font>
        <b val="0"/>
        <i val="0"/>
        <strike val="0"/>
        <condense val="0"/>
        <extend val="0"/>
        <outline val="0"/>
        <shadow val="0"/>
        <u val="none"/>
        <vertAlign val="baseline"/>
        <sz val="18"/>
        <color theme="1"/>
        <name val="Calibri"/>
        <family val="2"/>
        <scheme val="minor"/>
      </font>
    </dxf>
    <dxf>
      <font>
        <b val="0"/>
        <i val="0"/>
        <strike val="0"/>
        <condense val="0"/>
        <extend val="0"/>
        <outline val="0"/>
        <shadow val="0"/>
        <u val="none"/>
        <vertAlign val="baseline"/>
        <sz val="18"/>
        <color theme="1"/>
        <name val="Calibri"/>
        <family val="2"/>
        <scheme val="minor"/>
      </font>
      <numFmt numFmtId="0" formatCode="General"/>
    </dxf>
    <dxf>
      <font>
        <b val="0"/>
        <i val="0"/>
        <strike val="0"/>
        <condense val="0"/>
        <extend val="0"/>
        <outline val="0"/>
        <shadow val="0"/>
        <u val="none"/>
        <vertAlign val="baseline"/>
        <sz val="18"/>
        <color theme="1"/>
        <name val="Calibri"/>
        <family val="2"/>
        <scheme val="minor"/>
      </font>
      <numFmt numFmtId="0" formatCode="General"/>
    </dxf>
    <dxf>
      <font>
        <b val="0"/>
        <i val="0"/>
        <strike val="0"/>
        <condense val="0"/>
        <extend val="0"/>
        <outline val="0"/>
        <shadow val="0"/>
        <u val="none"/>
        <vertAlign val="baseline"/>
        <sz val="18"/>
        <color theme="1"/>
        <name val="Calibri"/>
        <family val="2"/>
        <scheme val="minor"/>
      </font>
      <numFmt numFmtId="0" formatCode="General"/>
    </dxf>
    <dxf>
      <font>
        <b val="0"/>
        <i val="0"/>
        <strike val="0"/>
        <condense val="0"/>
        <extend val="0"/>
        <outline val="0"/>
        <shadow val="0"/>
        <u val="none"/>
        <vertAlign val="baseline"/>
        <sz val="18"/>
        <color theme="1"/>
        <name val="Calibri"/>
        <family val="2"/>
        <scheme val="minor"/>
      </font>
    </dxf>
    <dxf>
      <numFmt numFmtId="0" formatCode="General"/>
    </dxf>
    <dxf>
      <font>
        <b val="0"/>
        <i val="0"/>
        <strike val="0"/>
        <condense val="0"/>
        <extend val="0"/>
        <outline val="0"/>
        <shadow val="0"/>
        <u val="none"/>
        <vertAlign val="baseline"/>
        <sz val="18"/>
        <color theme="1"/>
        <name val="Calibri"/>
        <family val="2"/>
        <scheme val="minor"/>
      </font>
      <numFmt numFmtId="0" formatCode="General"/>
    </dxf>
    <dxf>
      <numFmt numFmtId="0" formatCode="General"/>
    </dxf>
    <dxf>
      <font>
        <b val="0"/>
        <i val="0"/>
        <strike val="0"/>
        <condense val="0"/>
        <extend val="0"/>
        <outline val="0"/>
        <shadow val="0"/>
        <u val="none"/>
        <vertAlign val="baseline"/>
        <sz val="18"/>
        <color theme="1"/>
        <name val="Calibri"/>
        <family val="2"/>
        <scheme val="minor"/>
      </font>
    </dxf>
    <dxf>
      <numFmt numFmtId="0" formatCode="General"/>
    </dxf>
    <dxf>
      <font>
        <b val="0"/>
        <i val="0"/>
        <strike val="0"/>
        <condense val="0"/>
        <extend val="0"/>
        <outline val="0"/>
        <shadow val="0"/>
        <u val="none"/>
        <vertAlign val="baseline"/>
        <sz val="16"/>
        <color theme="1"/>
        <name val="Calibri"/>
        <family val="2"/>
        <scheme val="minor"/>
      </font>
      <numFmt numFmtId="0" formatCode="General"/>
    </dxf>
    <dxf>
      <numFmt numFmtId="0" formatCode="General"/>
    </dxf>
    <dxf>
      <numFmt numFmtId="21" formatCode="dd\-mmm"/>
    </dxf>
    <dxf>
      <numFmt numFmtId="21" formatCode="dd\-mmm"/>
    </dxf>
    <dxf>
      <numFmt numFmtId="21" formatCode="dd\-mmm"/>
    </dxf>
    <dxf>
      <numFmt numFmtId="21" formatCode="dd\-mmm"/>
    </dxf>
    <dxf>
      <numFmt numFmtId="21" formatCode="dd\-mmm"/>
    </dxf>
    <dxf>
      <numFmt numFmtId="21" formatCode="dd\-mmm"/>
    </dxf>
    <dxf>
      <numFmt numFmtId="21" formatCode="dd\-mmm"/>
    </dxf>
    <dxf>
      <numFmt numFmtId="21" formatCode="dd\-mmm"/>
    </dxf>
    <dxf>
      <numFmt numFmtId="21" formatCode="dd\-mmm"/>
    </dxf>
    <dxf>
      <numFmt numFmtId="21" formatCode="dd\-mmm"/>
    </dxf>
    <dxf>
      <numFmt numFmtId="21" formatCode="dd\-mmm"/>
    </dxf>
    <dxf>
      <numFmt numFmtId="21" formatCode="dd\-mmm"/>
    </dxf>
    <dxf>
      <numFmt numFmtId="21" formatCode="dd\-mmm"/>
    </dxf>
    <dxf>
      <numFmt numFmtId="21" formatCode="dd\-mmm"/>
    </dxf>
    <dxf>
      <numFmt numFmtId="21" formatCode="dd\-mmm"/>
    </dxf>
    <dxf>
      <numFmt numFmtId="21" formatCode="dd\-mmm"/>
    </dxf>
    <dxf>
      <numFmt numFmtId="21" formatCode="dd\-mmm"/>
    </dxf>
    <dxf>
      <numFmt numFmtId="21" formatCode="dd\-mmm"/>
    </dxf>
    <dxf>
      <numFmt numFmtId="21" formatCode="dd\-mmm"/>
    </dxf>
    <dxf>
      <numFmt numFmtId="21" formatCode="dd\-mmm"/>
    </dxf>
    <dxf>
      <numFmt numFmtId="21" formatCode="dd\-mmm"/>
    </dxf>
    <dxf>
      <numFmt numFmtId="21" formatCode="dd\-mmm"/>
    </dxf>
    <dxf>
      <numFmt numFmtId="21" formatCode="dd\-mmm"/>
    </dxf>
    <dxf>
      <numFmt numFmtId="21" formatCode="dd\-mmm"/>
    </dxf>
    <dxf>
      <numFmt numFmtId="21" formatCode="dd\-mmm"/>
    </dxf>
    <dxf>
      <numFmt numFmtId="21" formatCode="dd\-mmm"/>
    </dxf>
    <dxf>
      <numFmt numFmtId="21" formatCode="dd\-mmm"/>
    </dxf>
    <dxf>
      <numFmt numFmtId="21" formatCode="dd\-mmm"/>
    </dxf>
    <dxf>
      <numFmt numFmtId="21" formatCode="dd\-mmm"/>
    </dxf>
    <dxf>
      <numFmt numFmtId="21" formatCode="dd\-mmm"/>
    </dxf>
    <dxf>
      <numFmt numFmtId="21" formatCode="dd\-mmm"/>
    </dxf>
    <dxf>
      <numFmt numFmtId="21" formatCode="dd\-mmm"/>
    </dxf>
    <dxf>
      <numFmt numFmtId="21" formatCode="dd\-mmm"/>
    </dxf>
    <dxf>
      <numFmt numFmtId="21" formatCode="dd\-mmm"/>
    </dxf>
    <dxf>
      <numFmt numFmtId="21" formatCode="dd\-mmm"/>
    </dxf>
    <dxf>
      <numFmt numFmtId="21" formatCode="dd\-mmm"/>
    </dxf>
    <dxf>
      <numFmt numFmtId="21" formatCode="dd\-mmm"/>
    </dxf>
    <dxf>
      <numFmt numFmtId="21" formatCode="dd\-mmm"/>
    </dxf>
    <dxf>
      <numFmt numFmtId="21" formatCode="dd\-mmm"/>
    </dxf>
    <dxf>
      <numFmt numFmtId="21" formatCode="dd\-mmm"/>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3" formatCode="#,##0"/>
    </dxf>
    <dxf>
      <numFmt numFmtId="3" formatCode="#,##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1200"/>
              <a:t>Part d'émissions des différentes sources</a:t>
            </a:r>
          </a:p>
        </c:rich>
      </c:tx>
      <c:layout>
        <c:manualLayout>
          <c:xMode val="edge"/>
          <c:yMode val="edge"/>
          <c:x val="0.17037980175929751"/>
          <c:y val="9.5415542082322169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pieChart>
        <c:varyColors val="1"/>
        <c:ser>
          <c:idx val="0"/>
          <c:order val="0"/>
          <c:tx>
            <c:strRef>
              <c:f>[1]TOTAL!$K$7</c:f>
              <c:strCache>
                <c:ptCount val="1"/>
                <c:pt idx="0">
                  <c:v>Kg CO2e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DF7-4C86-BA25-849E1C3DEDE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DF7-4C86-BA25-849E1C3DEDE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DF7-4C86-BA25-849E1C3DEDE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DF7-4C86-BA25-849E1C3DEDE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DF7-4C86-BA25-849E1C3DEDE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DF7-4C86-BA25-849E1C3DEDE5}"/>
              </c:ext>
            </c:extLst>
          </c:dPt>
          <c:dLbls>
            <c:dLbl>
              <c:idx val="0"/>
              <c:layout>
                <c:manualLayout>
                  <c:x val="7.3310644097141373E-2"/>
                  <c:y val="4.7005906520760261E-2"/>
                </c:manualLayout>
              </c:layout>
              <c:tx>
                <c:rich>
                  <a:bodyPr/>
                  <a:lstStyle/>
                  <a:p>
                    <a:fld id="{2EDA0DAD-4E56-44DE-9050-097870B5D55C}" type="CATEGORYNAME">
                      <a:rPr lang="en-US" sz="600"/>
                      <a:pPr/>
                      <a:t>[NOM DE CATÉGORIE]</a:t>
                    </a:fld>
                    <a:r>
                      <a:rPr lang="en-US" sz="600" baseline="0"/>
                      <a:t>
</a:t>
                    </a:r>
                    <a:fld id="{E91B44A1-58EF-4ADF-A6E7-95BB0053479A}" type="PERCENTAGE">
                      <a:rPr lang="en-US" sz="600" baseline="0"/>
                      <a:pPr/>
                      <a:t>[POURCENTAGE]</a:t>
                    </a:fld>
                    <a:endParaRPr lang="en-US" sz="600" baseline="0"/>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7DF7-4C86-BA25-849E1C3DEDE5}"/>
                </c:ext>
              </c:extLst>
            </c:dLbl>
            <c:dLbl>
              <c:idx val="1"/>
              <c:layout>
                <c:manualLayout>
                  <c:x val="-9.4276491073945534E-2"/>
                  <c:y val="-5.9536709465591649E-2"/>
                </c:manualLayout>
              </c:layout>
              <c:tx>
                <c:rich>
                  <a:bodyPr/>
                  <a:lstStyle/>
                  <a:p>
                    <a:fld id="{B10DA12F-3650-426C-8C8B-959E1935FD11}" type="CATEGORYNAME">
                      <a:rPr lang="en-US" sz="600"/>
                      <a:pPr/>
                      <a:t>[NOM DE CATÉGORIE]</a:t>
                    </a:fld>
                    <a:r>
                      <a:rPr lang="en-US" sz="600" baseline="0"/>
                      <a:t>
</a:t>
                    </a:r>
                    <a:fld id="{6D6C8E15-69D3-4DA8-9513-9C1234F23DCE}" type="PERCENTAGE">
                      <a:rPr lang="en-US" sz="600" baseline="0"/>
                      <a:pPr/>
                      <a:t>[POURCENTAGE]</a:t>
                    </a:fld>
                    <a:endParaRPr lang="en-US" sz="600" baseline="0"/>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7DF7-4C86-BA25-849E1C3DEDE5}"/>
                </c:ext>
              </c:extLst>
            </c:dLbl>
            <c:dLbl>
              <c:idx val="2"/>
              <c:layout>
                <c:manualLayout>
                  <c:x val="-0.26925575032626081"/>
                  <c:y val="8.2055147224702168E-2"/>
                </c:manualLayout>
              </c:layout>
              <c:tx>
                <c:rich>
                  <a:bodyPr/>
                  <a:lstStyle/>
                  <a:p>
                    <a:fld id="{AA50DB70-C7BE-4635-AAED-E8A8CC638797}" type="CATEGORYNAME">
                      <a:rPr lang="en-US" sz="600"/>
                      <a:pPr/>
                      <a:t>[NOM DE CATÉGORIE]</a:t>
                    </a:fld>
                    <a:r>
                      <a:rPr lang="en-US" sz="600" baseline="0"/>
                      <a:t>
</a:t>
                    </a:r>
                    <a:fld id="{CFEB0C76-D96A-4C8E-85F9-2B1CA48091D8}" type="PERCENTAGE">
                      <a:rPr lang="en-US" sz="600" baseline="0"/>
                      <a:pPr/>
                      <a:t>[POURCENTAGE]</a:t>
                    </a:fld>
                    <a:endParaRPr lang="en-US" sz="600" baseline="0"/>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7DF7-4C86-BA25-849E1C3DEDE5}"/>
                </c:ext>
              </c:extLst>
            </c:dLbl>
            <c:dLbl>
              <c:idx val="3"/>
              <c:layout>
                <c:manualLayout>
                  <c:x val="-0.27771409172265049"/>
                  <c:y val="0.18811987742431291"/>
                </c:manualLayout>
              </c:layout>
              <c:tx>
                <c:rich>
                  <a:bodyPr/>
                  <a:lstStyle/>
                  <a:p>
                    <a:r>
                      <a:rPr lang="en-US" sz="600" baseline="0"/>
                      <a:t>Commandes
</a:t>
                    </a:r>
                    <a:fld id="{72CBDFE9-A617-4B73-BC92-FF076EB2145F}" type="PERCENTAGE">
                      <a:rPr lang="en-US" sz="600" baseline="0"/>
                      <a:pPr/>
                      <a:t>[POURCENTAGE]</a:t>
                    </a:fld>
                    <a:endParaRPr lang="en-US" sz="600" baseline="0"/>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7DF7-4C86-BA25-849E1C3DEDE5}"/>
                </c:ext>
              </c:extLst>
            </c:dLbl>
            <c:dLbl>
              <c:idx val="4"/>
              <c:layout>
                <c:manualLayout>
                  <c:x val="0.30341085619314634"/>
                  <c:y val="4.2923338359896458E-2"/>
                </c:manualLayout>
              </c:layout>
              <c:tx>
                <c:rich>
                  <a:bodyPr/>
                  <a:lstStyle/>
                  <a:p>
                    <a:fld id="{8CA2CC12-D672-4663-A8FD-9331A53C0314}" type="CATEGORYNAME">
                      <a:rPr lang="en-US" sz="600"/>
                      <a:pPr/>
                      <a:t>[NOM DE CATÉGORIE]</a:t>
                    </a:fld>
                    <a:r>
                      <a:rPr lang="en-US" baseline="0"/>
                      <a:t>
</a:t>
                    </a:r>
                    <a:fld id="{4BDA7B6C-6062-47E7-9C02-B6C9A3CD84E4}" type="PERCENTAGE">
                      <a:rPr lang="en-US" sz="600" baseline="0"/>
                      <a:pPr/>
                      <a:t>[POURCENTAGE]</a:t>
                    </a:fld>
                    <a:endParaRPr lang="en-US" baseline="0"/>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7DF7-4C86-BA25-849E1C3DEDE5}"/>
                </c:ext>
              </c:extLst>
            </c:dLbl>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fr-FR"/>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[1]TOTAL!$J$8:$J$12</c:f>
              <c:strCache>
                <c:ptCount val="5"/>
                <c:pt idx="0">
                  <c:v>Emissions Bus</c:v>
                </c:pt>
                <c:pt idx="1">
                  <c:v>Emissions V-L</c:v>
                </c:pt>
                <c:pt idx="2">
                  <c:v>Emissions Elec totale</c:v>
                </c:pt>
                <c:pt idx="3">
                  <c:v>Emissions commandes</c:v>
                </c:pt>
                <c:pt idx="4">
                  <c:v>Emissions trajets collaborateurs</c:v>
                </c:pt>
              </c:strCache>
            </c:strRef>
          </c:cat>
          <c:val>
            <c:numRef>
              <c:f>[1]TOTAL!$K$8:$K$12</c:f>
              <c:numCache>
                <c:formatCode>General</c:formatCode>
                <c:ptCount val="5"/>
                <c:pt idx="0">
                  <c:v>4387963.3836714001</c:v>
                </c:pt>
                <c:pt idx="1">
                  <c:v>220321.6283286</c:v>
                </c:pt>
                <c:pt idx="2">
                  <c:v>4516.2520000000004</c:v>
                </c:pt>
                <c:pt idx="3">
                  <c:v>65860.22</c:v>
                </c:pt>
                <c:pt idx="4">
                  <c:v>59935.38</c:v>
                </c:pt>
              </c:numCache>
            </c:numRef>
          </c:val>
          <c:extLst>
            <c:ext xmlns:c16="http://schemas.microsoft.com/office/drawing/2014/chart" uri="{C3380CC4-5D6E-409C-BE32-E72D297353CC}">
              <c16:uniqueId val="{0000000C-7DF7-4C86-BA25-849E1C3DEDE5}"/>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Emission par mois de CO2e (2023)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ser>
          <c:idx val="0"/>
          <c:order val="0"/>
          <c:tx>
            <c:v>Janvier</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'[1]Parc Global 2023'!$F$16</c:f>
              <c:numCache>
                <c:formatCode>General</c:formatCode>
                <c:ptCount val="1"/>
                <c:pt idx="0">
                  <c:v>298754.07010000001</c:v>
                </c:pt>
              </c:numCache>
            </c:numRef>
          </c:val>
          <c:extLst>
            <c:ext xmlns:c16="http://schemas.microsoft.com/office/drawing/2014/chart" uri="{C3380CC4-5D6E-409C-BE32-E72D297353CC}">
              <c16:uniqueId val="{00000000-E4AA-4629-8601-6D4B1D1EE063}"/>
            </c:ext>
          </c:extLst>
        </c:ser>
        <c:ser>
          <c:idx val="1"/>
          <c:order val="1"/>
          <c:tx>
            <c:v>Février</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'[1]Parc Global 2023'!$F$33</c:f>
              <c:numCache>
                <c:formatCode>General</c:formatCode>
                <c:ptCount val="1"/>
                <c:pt idx="0">
                  <c:v>255297.84960000005</c:v>
                </c:pt>
              </c:numCache>
            </c:numRef>
          </c:val>
          <c:extLst>
            <c:ext xmlns:c16="http://schemas.microsoft.com/office/drawing/2014/chart" uri="{C3380CC4-5D6E-409C-BE32-E72D297353CC}">
              <c16:uniqueId val="{00000001-E4AA-4629-8601-6D4B1D1EE063}"/>
            </c:ext>
          </c:extLst>
        </c:ser>
        <c:ser>
          <c:idx val="2"/>
          <c:order val="2"/>
          <c:tx>
            <c:v>Mars</c:v>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'[1]Parc Global 2023'!$F$48</c:f>
              <c:numCache>
                <c:formatCode>General</c:formatCode>
                <c:ptCount val="1"/>
                <c:pt idx="0">
                  <c:v>333832.90549999994</c:v>
                </c:pt>
              </c:numCache>
            </c:numRef>
          </c:val>
          <c:extLst>
            <c:ext xmlns:c16="http://schemas.microsoft.com/office/drawing/2014/chart" uri="{C3380CC4-5D6E-409C-BE32-E72D297353CC}">
              <c16:uniqueId val="{00000002-E4AA-4629-8601-6D4B1D1EE063}"/>
            </c:ext>
          </c:extLst>
        </c:ser>
        <c:ser>
          <c:idx val="3"/>
          <c:order val="3"/>
          <c:tx>
            <c:v>Avril</c:v>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'[1]Parc Global 2023'!$F$63</c:f>
              <c:numCache>
                <c:formatCode>General</c:formatCode>
                <c:ptCount val="1"/>
                <c:pt idx="0">
                  <c:v>234384.64640000003</c:v>
                </c:pt>
              </c:numCache>
            </c:numRef>
          </c:val>
          <c:extLst>
            <c:ext xmlns:c16="http://schemas.microsoft.com/office/drawing/2014/chart" uri="{C3380CC4-5D6E-409C-BE32-E72D297353CC}">
              <c16:uniqueId val="{00000003-E4AA-4629-8601-6D4B1D1EE063}"/>
            </c:ext>
          </c:extLst>
        </c:ser>
        <c:ser>
          <c:idx val="4"/>
          <c:order val="4"/>
          <c:tx>
            <c:v>Mai</c:v>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'[1]Parc Global 2023'!$X$14</c:f>
              <c:numCache>
                <c:formatCode>General</c:formatCode>
                <c:ptCount val="1"/>
                <c:pt idx="0">
                  <c:v>325806.6679</c:v>
                </c:pt>
              </c:numCache>
            </c:numRef>
          </c:val>
          <c:extLst>
            <c:ext xmlns:c16="http://schemas.microsoft.com/office/drawing/2014/chart" uri="{C3380CC4-5D6E-409C-BE32-E72D297353CC}">
              <c16:uniqueId val="{00000004-E4AA-4629-8601-6D4B1D1EE063}"/>
            </c:ext>
          </c:extLst>
        </c:ser>
        <c:ser>
          <c:idx val="5"/>
          <c:order val="5"/>
          <c:tx>
            <c:v>Juin</c:v>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'[1]Parc Global 2023'!$X$33</c:f>
              <c:numCache>
                <c:formatCode>General</c:formatCode>
                <c:ptCount val="1"/>
                <c:pt idx="0">
                  <c:v>323921.96540000004</c:v>
                </c:pt>
              </c:numCache>
            </c:numRef>
          </c:val>
          <c:extLst>
            <c:ext xmlns:c16="http://schemas.microsoft.com/office/drawing/2014/chart" uri="{C3380CC4-5D6E-409C-BE32-E72D297353CC}">
              <c16:uniqueId val="{00000005-E4AA-4629-8601-6D4B1D1EE063}"/>
            </c:ext>
          </c:extLst>
        </c:ser>
        <c:ser>
          <c:idx val="6"/>
          <c:order val="6"/>
          <c:tx>
            <c:v>Juillet</c:v>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'[1]Parc Global 2023'!$X$49</c:f>
              <c:numCache>
                <c:formatCode>General</c:formatCode>
                <c:ptCount val="1"/>
                <c:pt idx="0">
                  <c:v>185785.16400000005</c:v>
                </c:pt>
              </c:numCache>
            </c:numRef>
          </c:val>
          <c:extLst>
            <c:ext xmlns:c16="http://schemas.microsoft.com/office/drawing/2014/chart" uri="{C3380CC4-5D6E-409C-BE32-E72D297353CC}">
              <c16:uniqueId val="{00000006-E4AA-4629-8601-6D4B1D1EE063}"/>
            </c:ext>
          </c:extLst>
        </c:ser>
        <c:ser>
          <c:idx val="7"/>
          <c:order val="7"/>
          <c:tx>
            <c:v>Août</c:v>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'[1]Parc Global 2023'!$X$65</c:f>
              <c:numCache>
                <c:formatCode>General</c:formatCode>
                <c:ptCount val="1"/>
                <c:pt idx="0">
                  <c:v>158408.8028</c:v>
                </c:pt>
              </c:numCache>
            </c:numRef>
          </c:val>
          <c:extLst>
            <c:ext xmlns:c16="http://schemas.microsoft.com/office/drawing/2014/chart" uri="{C3380CC4-5D6E-409C-BE32-E72D297353CC}">
              <c16:uniqueId val="{00000007-E4AA-4629-8601-6D4B1D1EE063}"/>
            </c:ext>
          </c:extLst>
        </c:ser>
        <c:ser>
          <c:idx val="8"/>
          <c:order val="8"/>
          <c:tx>
            <c:v>Septembre</c:v>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'[1]Parc Global 2023'!$AP$14</c:f>
              <c:numCache>
                <c:formatCode>General</c:formatCode>
                <c:ptCount val="1"/>
                <c:pt idx="0">
                  <c:v>374825.86710000009</c:v>
                </c:pt>
              </c:numCache>
            </c:numRef>
          </c:val>
          <c:extLst>
            <c:ext xmlns:c16="http://schemas.microsoft.com/office/drawing/2014/chart" uri="{C3380CC4-5D6E-409C-BE32-E72D297353CC}">
              <c16:uniqueId val="{00000008-E4AA-4629-8601-6D4B1D1EE063}"/>
            </c:ext>
          </c:extLst>
        </c:ser>
        <c:ser>
          <c:idx val="9"/>
          <c:order val="9"/>
          <c:tx>
            <c:v>Octobre</c:v>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'[1]Parc Global 2023'!$AP$32</c:f>
              <c:numCache>
                <c:formatCode>General</c:formatCode>
                <c:ptCount val="1"/>
                <c:pt idx="0">
                  <c:v>307984.09200000006</c:v>
                </c:pt>
              </c:numCache>
            </c:numRef>
          </c:val>
          <c:extLst>
            <c:ext xmlns:c16="http://schemas.microsoft.com/office/drawing/2014/chart" uri="{C3380CC4-5D6E-409C-BE32-E72D297353CC}">
              <c16:uniqueId val="{00000009-E4AA-4629-8601-6D4B1D1EE063}"/>
            </c:ext>
          </c:extLst>
        </c:ser>
        <c:ser>
          <c:idx val="10"/>
          <c:order val="10"/>
          <c:tx>
            <c:v>Novembre</c:v>
          </c:tx>
          <c:spPr>
            <a:solidFill>
              <a:schemeClr val="accent5">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'[1]Parc Global 2023'!$AP$49</c:f>
              <c:numCache>
                <c:formatCode>General</c:formatCode>
                <c:ptCount val="1"/>
                <c:pt idx="0">
                  <c:v>528830.13099999994</c:v>
                </c:pt>
              </c:numCache>
            </c:numRef>
          </c:val>
          <c:extLst>
            <c:ext xmlns:c16="http://schemas.microsoft.com/office/drawing/2014/chart" uri="{C3380CC4-5D6E-409C-BE32-E72D297353CC}">
              <c16:uniqueId val="{0000000A-E4AA-4629-8601-6D4B1D1EE063}"/>
            </c:ext>
          </c:extLst>
        </c:ser>
        <c:ser>
          <c:idx val="11"/>
          <c:order val="11"/>
          <c:tx>
            <c:v>Décembre</c:v>
          </c:tx>
          <c:spPr>
            <a:solidFill>
              <a:schemeClr val="accent6">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'[1]Parc Global 2023'!$AP$68</c:f>
              <c:numCache>
                <c:formatCode>General</c:formatCode>
                <c:ptCount val="1"/>
                <c:pt idx="0">
                  <c:v>418137.14900000009</c:v>
                </c:pt>
              </c:numCache>
            </c:numRef>
          </c:val>
          <c:extLst>
            <c:ext xmlns:c16="http://schemas.microsoft.com/office/drawing/2014/chart" uri="{C3380CC4-5D6E-409C-BE32-E72D297353CC}">
              <c16:uniqueId val="{0000000B-E4AA-4629-8601-6D4B1D1EE063}"/>
            </c:ext>
          </c:extLst>
        </c:ser>
        <c:dLbls>
          <c:dLblPos val="outEnd"/>
          <c:showLegendKey val="0"/>
          <c:showVal val="1"/>
          <c:showCatName val="0"/>
          <c:showSerName val="0"/>
          <c:showPercent val="0"/>
          <c:showBubbleSize val="0"/>
        </c:dLbls>
        <c:gapWidth val="219"/>
        <c:overlap val="-27"/>
        <c:axId val="1430261792"/>
        <c:axId val="1430258912"/>
      </c:barChart>
      <c:catAx>
        <c:axId val="14302617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Mois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430258912"/>
        <c:crosses val="autoZero"/>
        <c:auto val="1"/>
        <c:lblAlgn val="ctr"/>
        <c:lblOffset val="100"/>
        <c:noMultiLvlLbl val="0"/>
      </c:catAx>
      <c:valAx>
        <c:axId val="14302589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r>
                  <a:rPr lang="fr-FR" sz="1800"/>
                  <a:t>Kg CO2e</a:t>
                </a:r>
              </a:p>
            </c:rich>
          </c:tx>
          <c:overlay val="0"/>
          <c:spPr>
            <a:noFill/>
            <a:ln>
              <a:noFill/>
            </a:ln>
            <a:effectLst/>
          </c:spPr>
          <c:txPr>
            <a:bodyPr rot="-54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4302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2023/2024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lineChart>
        <c:grouping val="standard"/>
        <c:varyColors val="0"/>
        <c:ser>
          <c:idx val="0"/>
          <c:order val="0"/>
          <c:tx>
            <c:strRef>
              <c:f>Nettoyage!$C$8</c:f>
              <c:strCache>
                <c:ptCount val="1"/>
                <c:pt idx="0">
                  <c:v>Total</c:v>
                </c:pt>
              </c:strCache>
            </c:strRef>
          </c:tx>
          <c:spPr>
            <a:ln w="28575" cap="rnd">
              <a:solidFill>
                <a:schemeClr val="accent1"/>
              </a:solidFill>
              <a:round/>
            </a:ln>
            <a:effectLst/>
          </c:spPr>
          <c:marker>
            <c:symbol val="none"/>
          </c:marker>
          <c:cat>
            <c:strRef>
              <c:f>Nettoyage!$D$4:$M$4</c:f>
              <c:strCache>
                <c:ptCount val="10"/>
                <c:pt idx="0">
                  <c:v>Ocotbre</c:v>
                </c:pt>
                <c:pt idx="1">
                  <c:v>Novembre</c:v>
                </c:pt>
                <c:pt idx="2">
                  <c:v>Décembre</c:v>
                </c:pt>
                <c:pt idx="3">
                  <c:v>Janvier</c:v>
                </c:pt>
                <c:pt idx="4">
                  <c:v>Février</c:v>
                </c:pt>
                <c:pt idx="5">
                  <c:v>Mars</c:v>
                </c:pt>
                <c:pt idx="6">
                  <c:v>Avril</c:v>
                </c:pt>
                <c:pt idx="7">
                  <c:v>Mai</c:v>
                </c:pt>
                <c:pt idx="8">
                  <c:v>Juin</c:v>
                </c:pt>
                <c:pt idx="9">
                  <c:v>Juillet</c:v>
                </c:pt>
              </c:strCache>
            </c:strRef>
          </c:cat>
          <c:val>
            <c:numRef>
              <c:f>Nettoyage!$D$8:$M$8</c:f>
              <c:numCache>
                <c:formatCode>#,##0</c:formatCode>
                <c:ptCount val="10"/>
                <c:pt idx="0">
                  <c:v>307984.09200000006</c:v>
                </c:pt>
                <c:pt idx="1">
                  <c:v>528830.13099999994</c:v>
                </c:pt>
                <c:pt idx="2">
                  <c:v>418137.14900000009</c:v>
                </c:pt>
                <c:pt idx="3">
                  <c:v>357420.76300000004</c:v>
                </c:pt>
                <c:pt idx="4">
                  <c:v>363507.5</c:v>
                </c:pt>
                <c:pt idx="5">
                  <c:v>375950.13300000003</c:v>
                </c:pt>
                <c:pt idx="6">
                  <c:v>362419.47899999999</c:v>
                </c:pt>
                <c:pt idx="7">
                  <c:v>399446.80299999996</c:v>
                </c:pt>
                <c:pt idx="8">
                  <c:v>443985.07</c:v>
                </c:pt>
                <c:pt idx="9">
                  <c:v>287034.272</c:v>
                </c:pt>
              </c:numCache>
            </c:numRef>
          </c:val>
          <c:smooth val="0"/>
          <c:extLst>
            <c:ext xmlns:c16="http://schemas.microsoft.com/office/drawing/2014/chart" uri="{C3380CC4-5D6E-409C-BE32-E72D297353CC}">
              <c16:uniqueId val="{00000013-9047-496F-9EAD-0B462002C421}"/>
            </c:ext>
          </c:extLst>
        </c:ser>
        <c:dLbls>
          <c:showLegendKey val="0"/>
          <c:showVal val="0"/>
          <c:showCatName val="0"/>
          <c:showSerName val="0"/>
          <c:showPercent val="0"/>
          <c:showBubbleSize val="0"/>
        </c:dLbls>
        <c:smooth val="0"/>
        <c:axId val="728174543"/>
        <c:axId val="728182703"/>
      </c:lineChart>
      <c:catAx>
        <c:axId val="728174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28182703"/>
        <c:crosses val="autoZero"/>
        <c:auto val="1"/>
        <c:lblAlgn val="ctr"/>
        <c:lblOffset val="100"/>
        <c:noMultiLvlLbl val="0"/>
      </c:catAx>
      <c:valAx>
        <c:axId val="72818270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281745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lineChart>
        <c:grouping val="standard"/>
        <c:varyColors val="0"/>
        <c:ser>
          <c:idx val="0"/>
          <c:order val="0"/>
          <c:tx>
            <c:strRef>
              <c:f>Nettoyage!$D$17</c:f>
              <c:strCache>
                <c:ptCount val="1"/>
                <c:pt idx="0">
                  <c:v>298 754</c:v>
                </c:pt>
              </c:strCache>
            </c:strRef>
          </c:tx>
          <c:spPr>
            <a:ln w="28575" cap="rnd">
              <a:solidFill>
                <a:schemeClr val="accent1"/>
              </a:solidFill>
              <a:round/>
            </a:ln>
            <a:effectLst/>
          </c:spPr>
          <c:marker>
            <c:symbol val="none"/>
          </c:marker>
          <c:cat>
            <c:strRef>
              <c:f>Nettoyage!$D$13:$O$13</c:f>
              <c:strCache>
                <c:ptCount val="12"/>
                <c:pt idx="0">
                  <c:v>Janvier</c:v>
                </c:pt>
                <c:pt idx="1">
                  <c:v>Février</c:v>
                </c:pt>
                <c:pt idx="2">
                  <c:v>Mars</c:v>
                </c:pt>
                <c:pt idx="3">
                  <c:v>Avril</c:v>
                </c:pt>
                <c:pt idx="4">
                  <c:v>Mai</c:v>
                </c:pt>
                <c:pt idx="5">
                  <c:v>Juin</c:v>
                </c:pt>
                <c:pt idx="6">
                  <c:v>Juillet</c:v>
                </c:pt>
                <c:pt idx="7">
                  <c:v>Août</c:v>
                </c:pt>
                <c:pt idx="8">
                  <c:v>Septembre</c:v>
                </c:pt>
                <c:pt idx="9">
                  <c:v>Octobre</c:v>
                </c:pt>
                <c:pt idx="10">
                  <c:v>Novembre</c:v>
                </c:pt>
                <c:pt idx="11">
                  <c:v>Décembre</c:v>
                </c:pt>
              </c:strCache>
            </c:strRef>
          </c:cat>
          <c:val>
            <c:numRef>
              <c:f>Nettoyage!$D$17:$O$17</c:f>
              <c:numCache>
                <c:formatCode>#,##0</c:formatCode>
                <c:ptCount val="12"/>
                <c:pt idx="0">
                  <c:v>298754.07010000001</c:v>
                </c:pt>
                <c:pt idx="1">
                  <c:v>255297.84960000005</c:v>
                </c:pt>
                <c:pt idx="2">
                  <c:v>333832.90549999994</c:v>
                </c:pt>
                <c:pt idx="3">
                  <c:v>234384.64640000003</c:v>
                </c:pt>
                <c:pt idx="4">
                  <c:v>325806.6679</c:v>
                </c:pt>
                <c:pt idx="5">
                  <c:v>323921.96540000004</c:v>
                </c:pt>
                <c:pt idx="6">
                  <c:v>185785.16400000005</c:v>
                </c:pt>
                <c:pt idx="7">
                  <c:v>158408.8028</c:v>
                </c:pt>
                <c:pt idx="8">
                  <c:v>374825.86710000009</c:v>
                </c:pt>
                <c:pt idx="9">
                  <c:v>307984.09200000006</c:v>
                </c:pt>
                <c:pt idx="10">
                  <c:v>528830.13099999994</c:v>
                </c:pt>
                <c:pt idx="11">
                  <c:v>418137.14900000009</c:v>
                </c:pt>
              </c:numCache>
            </c:numRef>
          </c:val>
          <c:smooth val="0"/>
          <c:extLst>
            <c:ext xmlns:c16="http://schemas.microsoft.com/office/drawing/2014/chart" uri="{C3380CC4-5D6E-409C-BE32-E72D297353CC}">
              <c16:uniqueId val="{00000000-BB7D-41ED-B25F-E03F77BAB64E}"/>
            </c:ext>
          </c:extLst>
        </c:ser>
        <c:dLbls>
          <c:showLegendKey val="0"/>
          <c:showVal val="0"/>
          <c:showCatName val="0"/>
          <c:showSerName val="0"/>
          <c:showPercent val="0"/>
          <c:showBubbleSize val="0"/>
        </c:dLbls>
        <c:smooth val="0"/>
        <c:axId val="899693279"/>
        <c:axId val="899685599"/>
      </c:lineChart>
      <c:catAx>
        <c:axId val="899693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899685599"/>
        <c:crosses val="autoZero"/>
        <c:auto val="1"/>
        <c:lblAlgn val="ctr"/>
        <c:lblOffset val="100"/>
        <c:noMultiLvlLbl val="0"/>
      </c:catAx>
      <c:valAx>
        <c:axId val="8996855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899693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lineChart>
        <c:grouping val="standard"/>
        <c:varyColors val="0"/>
        <c:ser>
          <c:idx val="0"/>
          <c:order val="0"/>
          <c:tx>
            <c:strRef>
              <c:f>Nettoyage!$AG$8</c:f>
              <c:strCache>
                <c:ptCount val="1"/>
                <c:pt idx="0">
                  <c:v>307 984</c:v>
                </c:pt>
              </c:strCache>
            </c:strRef>
          </c:tx>
          <c:spPr>
            <a:ln w="28575" cap="rnd">
              <a:solidFill>
                <a:schemeClr val="accent1"/>
              </a:solidFill>
              <a:round/>
            </a:ln>
            <a:effectLst/>
          </c:spPr>
          <c:marker>
            <c:symbol val="none"/>
          </c:marker>
          <c:cat>
            <c:strRef>
              <c:f>Nettoyage!$AG$4:$AR$4</c:f>
              <c:strCache>
                <c:ptCount val="12"/>
                <c:pt idx="0">
                  <c:v>Octobre</c:v>
                </c:pt>
                <c:pt idx="1">
                  <c:v>Novembre</c:v>
                </c:pt>
                <c:pt idx="2">
                  <c:v>Décembre</c:v>
                </c:pt>
                <c:pt idx="3">
                  <c:v>Janvier</c:v>
                </c:pt>
                <c:pt idx="4">
                  <c:v>Février</c:v>
                </c:pt>
                <c:pt idx="5">
                  <c:v>Mars</c:v>
                </c:pt>
                <c:pt idx="6">
                  <c:v>Avril</c:v>
                </c:pt>
                <c:pt idx="7">
                  <c:v>Mai</c:v>
                </c:pt>
                <c:pt idx="8">
                  <c:v>Juin</c:v>
                </c:pt>
                <c:pt idx="9">
                  <c:v>Juillet</c:v>
                </c:pt>
                <c:pt idx="10">
                  <c:v>Août</c:v>
                </c:pt>
                <c:pt idx="11">
                  <c:v>Septembre</c:v>
                </c:pt>
              </c:strCache>
            </c:strRef>
          </c:cat>
          <c:val>
            <c:numRef>
              <c:f>Nettoyage!$AG$8:$AR$8</c:f>
              <c:numCache>
                <c:formatCode>#,##0</c:formatCode>
                <c:ptCount val="12"/>
                <c:pt idx="0">
                  <c:v>307984.09200000006</c:v>
                </c:pt>
                <c:pt idx="1">
                  <c:v>528830.13099999994</c:v>
                </c:pt>
                <c:pt idx="2">
                  <c:v>418137.14900000009</c:v>
                </c:pt>
                <c:pt idx="3">
                  <c:v>298754.07010000001</c:v>
                </c:pt>
                <c:pt idx="4">
                  <c:v>255297.84960000005</c:v>
                </c:pt>
                <c:pt idx="5">
                  <c:v>333832.90549999994</c:v>
                </c:pt>
                <c:pt idx="6">
                  <c:v>234384.64640000003</c:v>
                </c:pt>
                <c:pt idx="7">
                  <c:v>325806.6679</c:v>
                </c:pt>
                <c:pt idx="8">
                  <c:v>323921.96540000004</c:v>
                </c:pt>
                <c:pt idx="9">
                  <c:v>185785.16400000005</c:v>
                </c:pt>
                <c:pt idx="10">
                  <c:v>158408.8028</c:v>
                </c:pt>
                <c:pt idx="11">
                  <c:v>374825.86710000009</c:v>
                </c:pt>
              </c:numCache>
            </c:numRef>
          </c:val>
          <c:smooth val="0"/>
          <c:extLst>
            <c:ext xmlns:c16="http://schemas.microsoft.com/office/drawing/2014/chart" uri="{C3380CC4-5D6E-409C-BE32-E72D297353CC}">
              <c16:uniqueId val="{00000000-ADED-4EE6-9A34-3420B3849403}"/>
            </c:ext>
          </c:extLst>
        </c:ser>
        <c:dLbls>
          <c:showLegendKey val="0"/>
          <c:showVal val="0"/>
          <c:showCatName val="0"/>
          <c:showSerName val="0"/>
          <c:showPercent val="0"/>
          <c:showBubbleSize val="0"/>
        </c:dLbls>
        <c:smooth val="0"/>
        <c:axId val="899679839"/>
        <c:axId val="899712959"/>
      </c:lineChart>
      <c:catAx>
        <c:axId val="899679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899712959"/>
        <c:crosses val="autoZero"/>
        <c:auto val="1"/>
        <c:lblAlgn val="ctr"/>
        <c:lblOffset val="100"/>
        <c:noMultiLvlLbl val="0"/>
      </c:catAx>
      <c:valAx>
        <c:axId val="8997129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899679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8</xdr:col>
      <xdr:colOff>212770</xdr:colOff>
      <xdr:row>4</xdr:row>
      <xdr:rowOff>152275</xdr:rowOff>
    </xdr:from>
    <xdr:to>
      <xdr:col>8</xdr:col>
      <xdr:colOff>1970049</xdr:colOff>
      <xdr:row>19</xdr:row>
      <xdr:rowOff>92927</xdr:rowOff>
    </xdr:to>
    <xdr:sp macro="" textlink="">
      <xdr:nvSpPr>
        <xdr:cNvPr id="2" name="ZoneTexte 1">
          <a:extLst>
            <a:ext uri="{FF2B5EF4-FFF2-40B4-BE49-F238E27FC236}">
              <a16:creationId xmlns:a16="http://schemas.microsoft.com/office/drawing/2014/main" id="{39F05AB4-3E15-4405-858D-CD67F4A4B83C}"/>
            </a:ext>
          </a:extLst>
        </xdr:cNvPr>
        <xdr:cNvSpPr txBox="1"/>
      </xdr:nvSpPr>
      <xdr:spPr>
        <a:xfrm>
          <a:off x="11921550" y="932860"/>
          <a:ext cx="1757279" cy="28399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i="0" u="none">
              <a:solidFill>
                <a:schemeClr val="accent6"/>
              </a:solidFill>
            </a:rPr>
            <a:t>Global octobre</a:t>
          </a:r>
        </a:p>
        <a:p>
          <a:r>
            <a:rPr lang="fr-FR" sz="1100">
              <a:solidFill>
                <a:schemeClr val="accent6"/>
              </a:solidFill>
            </a:rPr>
            <a:t>global novembre</a:t>
          </a:r>
        </a:p>
        <a:p>
          <a:r>
            <a:rPr lang="fr-FR" sz="1100">
              <a:solidFill>
                <a:schemeClr val="accent6"/>
              </a:solidFill>
            </a:rPr>
            <a:t>Global</a:t>
          </a:r>
          <a:r>
            <a:rPr lang="fr-FR" sz="1100" baseline="0">
              <a:solidFill>
                <a:schemeClr val="accent6"/>
              </a:solidFill>
            </a:rPr>
            <a:t> décembre</a:t>
          </a:r>
        </a:p>
        <a:p>
          <a:r>
            <a:rPr lang="fr-FR" sz="1100" baseline="0">
              <a:solidFill>
                <a:schemeClr val="accent6"/>
              </a:solidFill>
            </a:rPr>
            <a:t>Bus(janvier-mai)</a:t>
          </a:r>
        </a:p>
        <a:p>
          <a:r>
            <a:rPr lang="fr-FR" sz="1100" baseline="0">
              <a:solidFill>
                <a:schemeClr val="accent6"/>
              </a:solidFill>
            </a:rPr>
            <a:t>Bus juin</a:t>
          </a:r>
        </a:p>
        <a:p>
          <a:r>
            <a:rPr lang="fr-FR" sz="1100" baseline="0">
              <a:solidFill>
                <a:schemeClr val="accent6"/>
              </a:solidFill>
            </a:rPr>
            <a:t>Parc juillet</a:t>
          </a:r>
        </a:p>
        <a:p>
          <a:r>
            <a:rPr lang="fr-FR" sz="1100" baseline="0">
              <a:solidFill>
                <a:schemeClr val="accent4"/>
              </a:solidFill>
            </a:rPr>
            <a:t>Parc Août</a:t>
          </a:r>
        </a:p>
        <a:p>
          <a:r>
            <a:rPr lang="fr-FR" sz="1100" baseline="0">
              <a:solidFill>
                <a:schemeClr val="accent4"/>
              </a:solidFill>
            </a:rPr>
            <a:t>Parc Septembre</a:t>
          </a:r>
        </a:p>
        <a:p>
          <a:r>
            <a:rPr lang="fr-FR" sz="1100" baseline="0">
              <a:solidFill>
                <a:schemeClr val="accent6"/>
              </a:solidFill>
            </a:rPr>
            <a:t>VL essence</a:t>
          </a:r>
        </a:p>
        <a:p>
          <a:r>
            <a:rPr lang="fr-FR" sz="1100" baseline="0">
              <a:solidFill>
                <a:schemeClr val="accent6"/>
              </a:solidFill>
            </a:rPr>
            <a:t>VL GASOIL</a:t>
          </a:r>
        </a:p>
        <a:p>
          <a:endParaRPr lang="fr-FR" sz="1100" baseline="0"/>
        </a:p>
        <a:p>
          <a:r>
            <a:rPr lang="fr-FR" sz="1100" baseline="0">
              <a:solidFill>
                <a:schemeClr val="accent6"/>
              </a:solidFill>
            </a:rPr>
            <a:t>Commande (maidères, aube, haute marne)</a:t>
          </a:r>
        </a:p>
        <a:p>
          <a:r>
            <a:rPr lang="fr-FR" sz="1100" baseline="0">
              <a:solidFill>
                <a:schemeClr val="accent6"/>
              </a:solidFill>
            </a:rPr>
            <a:t>Conso electrique global</a:t>
          </a:r>
        </a:p>
        <a:p>
          <a:r>
            <a:rPr lang="fr-FR" sz="1100" baseline="0">
              <a:solidFill>
                <a:schemeClr val="accent6"/>
              </a:solidFill>
            </a:rPr>
            <a:t>Conso collaborateur </a:t>
          </a:r>
        </a:p>
        <a:p>
          <a:r>
            <a:rPr lang="fr-FR" sz="1100" baseline="0">
              <a:solidFill>
                <a:schemeClr val="accent6"/>
              </a:solidFill>
            </a:rPr>
            <a:t>Transport LR + ADblue</a:t>
          </a:r>
        </a:p>
        <a:p>
          <a:endParaRPr lang="fr-FR" sz="1100"/>
        </a:p>
      </xdr:txBody>
    </xdr:sp>
    <xdr:clientData/>
  </xdr:twoCellAnchor>
  <xdr:twoCellAnchor>
    <xdr:from>
      <xdr:col>16</xdr:col>
      <xdr:colOff>285666</xdr:colOff>
      <xdr:row>6</xdr:row>
      <xdr:rowOff>159745</xdr:rowOff>
    </xdr:from>
    <xdr:to>
      <xdr:col>20</xdr:col>
      <xdr:colOff>18317</xdr:colOff>
      <xdr:row>13</xdr:row>
      <xdr:rowOff>168667</xdr:rowOff>
    </xdr:to>
    <xdr:sp macro="" textlink="">
      <xdr:nvSpPr>
        <xdr:cNvPr id="3" name="ZoneTexte 2">
          <a:extLst>
            <a:ext uri="{FF2B5EF4-FFF2-40B4-BE49-F238E27FC236}">
              <a16:creationId xmlns:a16="http://schemas.microsoft.com/office/drawing/2014/main" id="{39460ED5-3467-4BDB-A5F5-C8F5D905DC6F}"/>
            </a:ext>
          </a:extLst>
        </xdr:cNvPr>
        <xdr:cNvSpPr txBox="1"/>
      </xdr:nvSpPr>
      <xdr:spPr>
        <a:xfrm>
          <a:off x="20661546" y="1333225"/>
          <a:ext cx="2392031" cy="13348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i="0" u="none">
              <a:solidFill>
                <a:schemeClr val="accent6"/>
              </a:solidFill>
            </a:rPr>
            <a:t>Janvier-décembre</a:t>
          </a:r>
          <a:r>
            <a:rPr lang="fr-FR" sz="1100" i="0" u="none" baseline="0">
              <a:solidFill>
                <a:schemeClr val="accent6"/>
              </a:solidFill>
            </a:rPr>
            <a:t> (parc entier)</a:t>
          </a:r>
          <a:endParaRPr lang="fr-FR" sz="1100" baseline="0">
            <a:solidFill>
              <a:schemeClr val="accent6"/>
            </a:solidFill>
          </a:endParaRPr>
        </a:p>
        <a:p>
          <a:endParaRPr lang="fr-FR" sz="1100" baseline="0"/>
        </a:p>
        <a:p>
          <a:r>
            <a:rPr lang="fr-FR" sz="1100" baseline="0">
              <a:solidFill>
                <a:schemeClr val="accent6"/>
              </a:solidFill>
            </a:rPr>
            <a:t>Commandes (maidères, aube, haute marne)</a:t>
          </a:r>
        </a:p>
        <a:p>
          <a:r>
            <a:rPr lang="fr-FR" sz="1100" baseline="0">
              <a:solidFill>
                <a:schemeClr val="accent6"/>
              </a:solidFill>
            </a:rPr>
            <a:t>Conso electrique global</a:t>
          </a:r>
        </a:p>
        <a:p>
          <a:r>
            <a:rPr lang="fr-FR" sz="1100" baseline="0">
              <a:solidFill>
                <a:schemeClr val="accent6"/>
              </a:solidFill>
            </a:rPr>
            <a:t>Conso collaborateur </a:t>
          </a:r>
        </a:p>
        <a:p>
          <a:pPr marL="0" marR="0" lvl="0" indent="0" defTabSz="914400" eaLnBrk="1" fontAlgn="auto" latinLnBrk="0" hangingPunct="1">
            <a:lnSpc>
              <a:spcPct val="100000"/>
            </a:lnSpc>
            <a:spcBef>
              <a:spcPts val="0"/>
            </a:spcBef>
            <a:spcAft>
              <a:spcPts val="0"/>
            </a:spcAft>
            <a:buClrTx/>
            <a:buSzTx/>
            <a:buFontTx/>
            <a:buNone/>
            <a:tabLst/>
            <a:defRPr/>
          </a:pPr>
          <a:r>
            <a:rPr lang="fr-FR" sz="1100" baseline="0">
              <a:solidFill>
                <a:schemeClr val="accent6"/>
              </a:solidFill>
              <a:effectLst/>
              <a:latin typeface="+mn-lt"/>
              <a:ea typeface="+mn-ea"/>
              <a:cs typeface="+mn-cs"/>
            </a:rPr>
            <a:t>Transport LR + ADblue</a:t>
          </a:r>
          <a:endParaRPr lang="fr-FR">
            <a:solidFill>
              <a:schemeClr val="accent6"/>
            </a:solidFill>
            <a:effectLst/>
          </a:endParaRPr>
        </a:p>
        <a:p>
          <a:endParaRPr lang="fr-FR" sz="1100" baseline="0"/>
        </a:p>
        <a:p>
          <a:endParaRPr lang="fr-FR" sz="1100"/>
        </a:p>
      </xdr:txBody>
    </xdr:sp>
    <xdr:clientData/>
  </xdr:twoCellAnchor>
  <xdr:twoCellAnchor>
    <xdr:from>
      <xdr:col>8</xdr:col>
      <xdr:colOff>1335383</xdr:colOff>
      <xdr:row>26</xdr:row>
      <xdr:rowOff>148093</xdr:rowOff>
    </xdr:from>
    <xdr:to>
      <xdr:col>9</xdr:col>
      <xdr:colOff>2256407</xdr:colOff>
      <xdr:row>42</xdr:row>
      <xdr:rowOff>1196</xdr:rowOff>
    </xdr:to>
    <xdr:graphicFrame macro="">
      <xdr:nvGraphicFramePr>
        <xdr:cNvPr id="4" name="Graphique 3">
          <a:extLst>
            <a:ext uri="{FF2B5EF4-FFF2-40B4-BE49-F238E27FC236}">
              <a16:creationId xmlns:a16="http://schemas.microsoft.com/office/drawing/2014/main" id="{93D12477-EB03-4C4F-A1AD-3762EBC758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136071</xdr:colOff>
      <xdr:row>16</xdr:row>
      <xdr:rowOff>136071</xdr:rowOff>
    </xdr:from>
    <xdr:to>
      <xdr:col>4</xdr:col>
      <xdr:colOff>612322</xdr:colOff>
      <xdr:row>20</xdr:row>
      <xdr:rowOff>190501</xdr:rowOff>
    </xdr:to>
    <xdr:sp macro="" textlink="">
      <xdr:nvSpPr>
        <xdr:cNvPr id="5" name="ZoneTexte 4">
          <a:extLst>
            <a:ext uri="{FF2B5EF4-FFF2-40B4-BE49-F238E27FC236}">
              <a16:creationId xmlns:a16="http://schemas.microsoft.com/office/drawing/2014/main" id="{D14390A9-8760-4EFE-B2DD-83E46129C64D}"/>
            </a:ext>
          </a:extLst>
        </xdr:cNvPr>
        <xdr:cNvSpPr txBox="1"/>
      </xdr:nvSpPr>
      <xdr:spPr>
        <a:xfrm>
          <a:off x="257991" y="3184071"/>
          <a:ext cx="5147311" cy="8392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Données trouvées grâce à la base de</a:t>
          </a:r>
          <a:r>
            <a:rPr lang="fr-FR" sz="1100" baseline="0"/>
            <a:t> données des bilans carbone de l'ADEME (</a:t>
          </a:r>
          <a:r>
            <a:rPr lang="fr-FR" sz="700" baseline="0">
              <a:solidFill>
                <a:schemeClr val="accent1"/>
              </a:solidFill>
            </a:rPr>
            <a:t>https://bilans-ges.ademe.fr/bilans</a:t>
          </a:r>
          <a:r>
            <a:rPr lang="fr-FR" sz="1100" baseline="0"/>
            <a:t>), ainsi qu'aux relevés financiers fournis par societe.com. (</a:t>
          </a:r>
          <a:r>
            <a:rPr lang="fr-FR" sz="700" baseline="0">
              <a:solidFill>
                <a:schemeClr val="accent1"/>
              </a:solidFill>
            </a:rPr>
            <a:t>https://www.societe.com/</a:t>
          </a:r>
          <a:r>
            <a:rPr lang="fr-FR" sz="1100" baseline="0">
              <a:solidFill>
                <a:sysClr val="windowText" lastClr="000000"/>
              </a:solidFill>
            </a:rPr>
            <a:t>)</a:t>
          </a:r>
          <a:endParaRPr lang="fr-FR" sz="1100">
            <a:solidFill>
              <a:sysClr val="windowText" lastClr="000000"/>
            </a:solidFill>
          </a:endParaRPr>
        </a:p>
      </xdr:txBody>
    </xdr:sp>
    <xdr:clientData/>
  </xdr:twoCellAnchor>
  <xdr:twoCellAnchor>
    <xdr:from>
      <xdr:col>2</xdr:col>
      <xdr:colOff>158750</xdr:colOff>
      <xdr:row>14</xdr:row>
      <xdr:rowOff>95250</xdr:rowOff>
    </xdr:from>
    <xdr:to>
      <xdr:col>2</xdr:col>
      <xdr:colOff>158750</xdr:colOff>
      <xdr:row>16</xdr:row>
      <xdr:rowOff>0</xdr:rowOff>
    </xdr:to>
    <xdr:cxnSp macro="">
      <xdr:nvCxnSpPr>
        <xdr:cNvPr id="6" name="Connecteur droit avec flèche 5">
          <a:extLst>
            <a:ext uri="{FF2B5EF4-FFF2-40B4-BE49-F238E27FC236}">
              <a16:creationId xmlns:a16="http://schemas.microsoft.com/office/drawing/2014/main" id="{71CFA7DE-A8F8-4E15-B6D0-80DC35992C70}"/>
            </a:ext>
          </a:extLst>
        </xdr:cNvPr>
        <xdr:cNvCxnSpPr/>
      </xdr:nvCxnSpPr>
      <xdr:spPr>
        <a:xfrm flipV="1">
          <a:off x="2056130" y="2777490"/>
          <a:ext cx="0" cy="2705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27</xdr:col>
      <xdr:colOff>2906752</xdr:colOff>
      <xdr:row>68</xdr:row>
      <xdr:rowOff>121114</xdr:rowOff>
    </xdr:from>
    <xdr:to>
      <xdr:col>27</xdr:col>
      <xdr:colOff>6821448</xdr:colOff>
      <xdr:row>73</xdr:row>
      <xdr:rowOff>83014</xdr:rowOff>
    </xdr:to>
    <xdr:sp macro="" textlink="">
      <xdr:nvSpPr>
        <xdr:cNvPr id="2" name="ZoneTexte 1">
          <a:extLst>
            <a:ext uri="{FF2B5EF4-FFF2-40B4-BE49-F238E27FC236}">
              <a16:creationId xmlns:a16="http://schemas.microsoft.com/office/drawing/2014/main" id="{F4C3E3EB-6402-4928-9459-EFF33385B3AF}"/>
            </a:ext>
          </a:extLst>
        </xdr:cNvPr>
        <xdr:cNvSpPr txBox="1"/>
      </xdr:nvSpPr>
      <xdr:spPr>
        <a:xfrm>
          <a:off x="25949632" y="19033954"/>
          <a:ext cx="3914696"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4000" b="1"/>
            <a:t>Somme totale :</a:t>
          </a:r>
        </a:p>
      </xdr:txBody>
    </xdr:sp>
    <xdr:clientData/>
  </xdr:twoCellAnchor>
  <xdr:twoCellAnchor>
    <xdr:from>
      <xdr:col>34</xdr:col>
      <xdr:colOff>4117252</xdr:colOff>
      <xdr:row>61</xdr:row>
      <xdr:rowOff>193303</xdr:rowOff>
    </xdr:from>
    <xdr:to>
      <xdr:col>34</xdr:col>
      <xdr:colOff>8031654</xdr:colOff>
      <xdr:row>66</xdr:row>
      <xdr:rowOff>32426</xdr:rowOff>
    </xdr:to>
    <xdr:sp macro="" textlink="">
      <xdr:nvSpPr>
        <xdr:cNvPr id="3" name="ZoneTexte 2">
          <a:extLst>
            <a:ext uri="{FF2B5EF4-FFF2-40B4-BE49-F238E27FC236}">
              <a16:creationId xmlns:a16="http://schemas.microsoft.com/office/drawing/2014/main" id="{5111032F-1C95-4EEE-A133-F6F0D08C4D4B}"/>
            </a:ext>
          </a:extLst>
        </xdr:cNvPr>
        <xdr:cNvSpPr txBox="1"/>
      </xdr:nvSpPr>
      <xdr:spPr>
        <a:xfrm>
          <a:off x="45806272" y="16027663"/>
          <a:ext cx="3914402" cy="13631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3200" b="1"/>
            <a:t>Somme BUS</a:t>
          </a:r>
        </a:p>
        <a:p>
          <a:r>
            <a:rPr lang="fr-FR" sz="3200" b="1"/>
            <a:t>JANVIER-SEPTEMBRE</a:t>
          </a:r>
        </a:p>
      </xdr:txBody>
    </xdr:sp>
    <xdr:clientData/>
  </xdr:twoCellAnchor>
  <xdr:twoCellAnchor>
    <xdr:from>
      <xdr:col>41</xdr:col>
      <xdr:colOff>3377950</xdr:colOff>
      <xdr:row>62</xdr:row>
      <xdr:rowOff>5235</xdr:rowOff>
    </xdr:from>
    <xdr:to>
      <xdr:col>41</xdr:col>
      <xdr:colOff>7292352</xdr:colOff>
      <xdr:row>64</xdr:row>
      <xdr:rowOff>149087</xdr:rowOff>
    </xdr:to>
    <xdr:sp macro="" textlink="">
      <xdr:nvSpPr>
        <xdr:cNvPr id="4" name="ZoneTexte 3">
          <a:extLst>
            <a:ext uri="{FF2B5EF4-FFF2-40B4-BE49-F238E27FC236}">
              <a16:creationId xmlns:a16="http://schemas.microsoft.com/office/drawing/2014/main" id="{21EAE0A2-672D-4976-A7F0-DBA6D27514D7}"/>
            </a:ext>
          </a:extLst>
        </xdr:cNvPr>
        <xdr:cNvSpPr txBox="1"/>
      </xdr:nvSpPr>
      <xdr:spPr>
        <a:xfrm>
          <a:off x="63179710" y="16037715"/>
          <a:ext cx="3914402" cy="1103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3200" b="1"/>
            <a:t>Somme</a:t>
          </a:r>
          <a:r>
            <a:rPr lang="fr-FR" sz="3200" b="1" baseline="0"/>
            <a:t> V-L</a:t>
          </a:r>
          <a:endParaRPr lang="fr-FR" sz="3200" b="1"/>
        </a:p>
        <a:p>
          <a:r>
            <a:rPr lang="fr-FR" sz="3200" b="1"/>
            <a:t>JANVIER-Septembre</a:t>
          </a:r>
        </a:p>
      </xdr:txBody>
    </xdr:sp>
    <xdr:clientData/>
  </xdr:twoCellAnchor>
  <xdr:twoCellAnchor>
    <xdr:from>
      <xdr:col>34</xdr:col>
      <xdr:colOff>3762928</xdr:colOff>
      <xdr:row>66</xdr:row>
      <xdr:rowOff>24564</xdr:rowOff>
    </xdr:from>
    <xdr:to>
      <xdr:col>34</xdr:col>
      <xdr:colOff>8068789</xdr:colOff>
      <xdr:row>68</xdr:row>
      <xdr:rowOff>110836</xdr:rowOff>
    </xdr:to>
    <xdr:sp macro="" textlink="">
      <xdr:nvSpPr>
        <xdr:cNvPr id="5" name="ZoneTexte 4">
          <a:extLst>
            <a:ext uri="{FF2B5EF4-FFF2-40B4-BE49-F238E27FC236}">
              <a16:creationId xmlns:a16="http://schemas.microsoft.com/office/drawing/2014/main" id="{86D4C2EC-FD07-498A-A489-04BDD1B9839C}"/>
            </a:ext>
          </a:extLst>
        </xdr:cNvPr>
        <xdr:cNvSpPr txBox="1"/>
      </xdr:nvSpPr>
      <xdr:spPr>
        <a:xfrm>
          <a:off x="45451948" y="17382924"/>
          <a:ext cx="4305861" cy="16407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3200" b="1"/>
            <a:t>Somme BUS</a:t>
          </a:r>
        </a:p>
        <a:p>
          <a:r>
            <a:rPr lang="fr-FR" sz="3200" b="1"/>
            <a:t>OCTOBRE-JANVIER</a:t>
          </a:r>
        </a:p>
      </xdr:txBody>
    </xdr:sp>
    <xdr:clientData/>
  </xdr:twoCellAnchor>
  <xdr:twoCellAnchor>
    <xdr:from>
      <xdr:col>41</xdr:col>
      <xdr:colOff>3108021</xdr:colOff>
      <xdr:row>64</xdr:row>
      <xdr:rowOff>169478</xdr:rowOff>
    </xdr:from>
    <xdr:to>
      <xdr:col>41</xdr:col>
      <xdr:colOff>7413882</xdr:colOff>
      <xdr:row>67</xdr:row>
      <xdr:rowOff>182218</xdr:rowOff>
    </xdr:to>
    <xdr:sp macro="" textlink="">
      <xdr:nvSpPr>
        <xdr:cNvPr id="6" name="ZoneTexte 5">
          <a:extLst>
            <a:ext uri="{FF2B5EF4-FFF2-40B4-BE49-F238E27FC236}">
              <a16:creationId xmlns:a16="http://schemas.microsoft.com/office/drawing/2014/main" id="{DA809137-E296-48FA-8E9D-F2896735C03B}"/>
            </a:ext>
          </a:extLst>
        </xdr:cNvPr>
        <xdr:cNvSpPr txBox="1"/>
      </xdr:nvSpPr>
      <xdr:spPr>
        <a:xfrm>
          <a:off x="62909781" y="17162078"/>
          <a:ext cx="4305861" cy="11557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3200" b="1"/>
            <a:t>Somme V-L</a:t>
          </a:r>
        </a:p>
        <a:p>
          <a:r>
            <a:rPr lang="fr-FR" sz="3200" b="1"/>
            <a:t>OCTOBRE-JANVIER</a:t>
          </a:r>
        </a:p>
      </xdr:txBody>
    </xdr:sp>
    <xdr:clientData/>
  </xdr:twoCellAnchor>
  <xdr:twoCellAnchor>
    <xdr:from>
      <xdr:col>32</xdr:col>
      <xdr:colOff>489857</xdr:colOff>
      <xdr:row>62</xdr:row>
      <xdr:rowOff>108857</xdr:rowOff>
    </xdr:from>
    <xdr:to>
      <xdr:col>34</xdr:col>
      <xdr:colOff>1905000</xdr:colOff>
      <xdr:row>71</xdr:row>
      <xdr:rowOff>163286</xdr:rowOff>
    </xdr:to>
    <xdr:sp macro="" textlink="">
      <xdr:nvSpPr>
        <xdr:cNvPr id="7" name="ZoneTexte 6">
          <a:extLst>
            <a:ext uri="{FF2B5EF4-FFF2-40B4-BE49-F238E27FC236}">
              <a16:creationId xmlns:a16="http://schemas.microsoft.com/office/drawing/2014/main" id="{64C261C3-ACFC-45F4-816F-0213DBCB7554}"/>
            </a:ext>
          </a:extLst>
        </xdr:cNvPr>
        <xdr:cNvSpPr txBox="1"/>
      </xdr:nvSpPr>
      <xdr:spPr>
        <a:xfrm>
          <a:off x="40380557" y="16141337"/>
          <a:ext cx="3213463" cy="41920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Pour calculer les proportions V-L et BUS d'octobre à janvier, n'ayant que les données de</a:t>
          </a:r>
          <a:r>
            <a:rPr lang="fr-FR" sz="1100" baseline="0"/>
            <a:t> consommation de carburant de tous le parc, une analyse des mois Janvier à Juin concernant le rapport entre les émissions des BUS et des V-L a été faite. Ce rapport a été imputé au mois d'octobre/novembre/décembre afin d'être le plus précis possible.</a:t>
          </a:r>
        </a:p>
        <a:p>
          <a:endParaRPr lang="fr-FR" sz="1100" baseline="0"/>
        </a:p>
        <a:p>
          <a:r>
            <a:rPr lang="fr-FR" sz="1100" baseline="0"/>
            <a:t>Rapport BUS = 95,095%</a:t>
          </a:r>
        </a:p>
        <a:p>
          <a:r>
            <a:rPr lang="fr-FR" sz="1100" baseline="0"/>
            <a:t>Rapport V-L = 4,905%</a:t>
          </a:r>
          <a:endParaRPr lang="fr-FR" sz="1100"/>
        </a:p>
      </xdr:txBody>
    </xdr:sp>
    <xdr:clientData/>
  </xdr:twoCellAnchor>
  <xdr:twoCellAnchor>
    <xdr:from>
      <xdr:col>27</xdr:col>
      <xdr:colOff>2550149</xdr:colOff>
      <xdr:row>65</xdr:row>
      <xdr:rowOff>571</xdr:rowOff>
    </xdr:from>
    <xdr:to>
      <xdr:col>27</xdr:col>
      <xdr:colOff>6856010</xdr:colOff>
      <xdr:row>68</xdr:row>
      <xdr:rowOff>55755</xdr:rowOff>
    </xdr:to>
    <xdr:sp macro="" textlink="">
      <xdr:nvSpPr>
        <xdr:cNvPr id="8" name="ZoneTexte 7">
          <a:extLst>
            <a:ext uri="{FF2B5EF4-FFF2-40B4-BE49-F238E27FC236}">
              <a16:creationId xmlns:a16="http://schemas.microsoft.com/office/drawing/2014/main" id="{F14826EC-267E-42AB-9804-731A55031E02}"/>
            </a:ext>
          </a:extLst>
        </xdr:cNvPr>
        <xdr:cNvSpPr txBox="1"/>
      </xdr:nvSpPr>
      <xdr:spPr>
        <a:xfrm>
          <a:off x="25593029" y="17176051"/>
          <a:ext cx="4305861" cy="17925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5400" b="1"/>
            <a:t>Somme BUS</a:t>
          </a:r>
        </a:p>
        <a:p>
          <a:r>
            <a:rPr lang="fr-FR" sz="5400" b="1"/>
            <a:t>TOTAL</a:t>
          </a:r>
        </a:p>
      </xdr:txBody>
    </xdr:sp>
    <xdr:clientData/>
  </xdr:twoCellAnchor>
  <xdr:twoCellAnchor>
    <xdr:from>
      <xdr:col>27</xdr:col>
      <xdr:colOff>1561172</xdr:colOff>
      <xdr:row>62</xdr:row>
      <xdr:rowOff>43825</xdr:rowOff>
    </xdr:from>
    <xdr:to>
      <xdr:col>27</xdr:col>
      <xdr:colOff>7192537</xdr:colOff>
      <xdr:row>64</xdr:row>
      <xdr:rowOff>130098</xdr:rowOff>
    </xdr:to>
    <xdr:sp macro="" textlink="">
      <xdr:nvSpPr>
        <xdr:cNvPr id="9" name="ZoneTexte 8">
          <a:extLst>
            <a:ext uri="{FF2B5EF4-FFF2-40B4-BE49-F238E27FC236}">
              <a16:creationId xmlns:a16="http://schemas.microsoft.com/office/drawing/2014/main" id="{418423B3-107F-4E93-AB12-64B59A606ADB}"/>
            </a:ext>
          </a:extLst>
        </xdr:cNvPr>
        <xdr:cNvSpPr txBox="1"/>
      </xdr:nvSpPr>
      <xdr:spPr>
        <a:xfrm>
          <a:off x="24604052" y="16076305"/>
          <a:ext cx="5631365" cy="1046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5400" b="1"/>
            <a:t>Somme V-L</a:t>
          </a:r>
          <a:r>
            <a:rPr lang="fr-FR" sz="5400" b="1" baseline="0"/>
            <a:t> </a:t>
          </a:r>
          <a:r>
            <a:rPr lang="fr-FR" sz="5400" b="1"/>
            <a:t>TOTAL</a:t>
          </a:r>
        </a:p>
      </xdr:txBody>
    </xdr:sp>
    <xdr:clientData/>
  </xdr:twoCellAnchor>
  <xdr:twoCellAnchor>
    <xdr:from>
      <xdr:col>2</xdr:col>
      <xdr:colOff>54227</xdr:colOff>
      <xdr:row>63</xdr:row>
      <xdr:rowOff>143833</xdr:rowOff>
    </xdr:from>
    <xdr:to>
      <xdr:col>7</xdr:col>
      <xdr:colOff>732155</xdr:colOff>
      <xdr:row>65</xdr:row>
      <xdr:rowOff>95250</xdr:rowOff>
    </xdr:to>
    <xdr:sp macro="" textlink="">
      <xdr:nvSpPr>
        <xdr:cNvPr id="10" name="ZoneTexte 9">
          <a:extLst>
            <a:ext uri="{FF2B5EF4-FFF2-40B4-BE49-F238E27FC236}">
              <a16:creationId xmlns:a16="http://schemas.microsoft.com/office/drawing/2014/main" id="{91593BCC-2724-4C73-994C-904433D4F1B7}"/>
            </a:ext>
          </a:extLst>
        </xdr:cNvPr>
        <xdr:cNvSpPr txBox="1"/>
      </xdr:nvSpPr>
      <xdr:spPr>
        <a:xfrm>
          <a:off x="1639187" y="16359193"/>
          <a:ext cx="4792728" cy="9115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5400" b="1"/>
            <a:t>INTER-URBAIN</a:t>
          </a:r>
        </a:p>
      </xdr:txBody>
    </xdr:sp>
    <xdr:clientData/>
  </xdr:twoCellAnchor>
  <xdr:twoCellAnchor>
    <xdr:from>
      <xdr:col>2</xdr:col>
      <xdr:colOff>54227</xdr:colOff>
      <xdr:row>63</xdr:row>
      <xdr:rowOff>140023</xdr:rowOff>
    </xdr:from>
    <xdr:to>
      <xdr:col>7</xdr:col>
      <xdr:colOff>734060</xdr:colOff>
      <xdr:row>67</xdr:row>
      <xdr:rowOff>114300</xdr:rowOff>
    </xdr:to>
    <xdr:sp macro="" textlink="">
      <xdr:nvSpPr>
        <xdr:cNvPr id="11" name="ZoneTexte 10">
          <a:extLst>
            <a:ext uri="{FF2B5EF4-FFF2-40B4-BE49-F238E27FC236}">
              <a16:creationId xmlns:a16="http://schemas.microsoft.com/office/drawing/2014/main" id="{6103BD78-2483-4DA9-BABF-9F192A183D70}"/>
            </a:ext>
          </a:extLst>
        </xdr:cNvPr>
        <xdr:cNvSpPr txBox="1"/>
      </xdr:nvSpPr>
      <xdr:spPr>
        <a:xfrm>
          <a:off x="1639187" y="16355383"/>
          <a:ext cx="4794633" cy="18945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5400" b="1"/>
            <a:t>INTER-URBAIN BUS</a:t>
          </a:r>
        </a:p>
      </xdr:txBody>
    </xdr:sp>
    <xdr:clientData/>
  </xdr:twoCellAnchor>
  <xdr:twoCellAnchor>
    <xdr:from>
      <xdr:col>1</xdr:col>
      <xdr:colOff>724787</xdr:colOff>
      <xdr:row>67</xdr:row>
      <xdr:rowOff>399738</xdr:rowOff>
    </xdr:from>
    <xdr:to>
      <xdr:col>7</xdr:col>
      <xdr:colOff>603250</xdr:colOff>
      <xdr:row>72</xdr:row>
      <xdr:rowOff>57150</xdr:rowOff>
    </xdr:to>
    <xdr:sp macro="" textlink="">
      <xdr:nvSpPr>
        <xdr:cNvPr id="12" name="ZoneTexte 11">
          <a:extLst>
            <a:ext uri="{FF2B5EF4-FFF2-40B4-BE49-F238E27FC236}">
              <a16:creationId xmlns:a16="http://schemas.microsoft.com/office/drawing/2014/main" id="{C7E7A646-8CC7-4EAB-AC56-4AA64114C738}"/>
            </a:ext>
          </a:extLst>
        </xdr:cNvPr>
        <xdr:cNvSpPr txBox="1"/>
      </xdr:nvSpPr>
      <xdr:spPr>
        <a:xfrm>
          <a:off x="1517267" y="18535338"/>
          <a:ext cx="4785743" cy="18748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5400" b="1"/>
            <a:t>INTRA-URBAIN BUS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67</xdr:row>
      <xdr:rowOff>0</xdr:rowOff>
    </xdr:from>
    <xdr:to>
      <xdr:col>4</xdr:col>
      <xdr:colOff>239279</xdr:colOff>
      <xdr:row>80</xdr:row>
      <xdr:rowOff>1610</xdr:rowOff>
    </xdr:to>
    <xdr:sp macro="" textlink="">
      <xdr:nvSpPr>
        <xdr:cNvPr id="2" name="ZoneTexte 1">
          <a:extLst>
            <a:ext uri="{FF2B5EF4-FFF2-40B4-BE49-F238E27FC236}">
              <a16:creationId xmlns:a16="http://schemas.microsoft.com/office/drawing/2014/main" id="{A77D1CCA-2E43-437A-A832-245C231C4E97}"/>
            </a:ext>
          </a:extLst>
        </xdr:cNvPr>
        <xdr:cNvSpPr txBox="1"/>
      </xdr:nvSpPr>
      <xdr:spPr>
        <a:xfrm>
          <a:off x="0" y="13997940"/>
          <a:ext cx="3409199" cy="23942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Il n'existait aucun fichier détaillé</a:t>
          </a:r>
          <a:r>
            <a:rPr lang="fr-FR" sz="1100" baseline="0"/>
            <a:t> des déplacements pour 2023</a:t>
          </a:r>
        </a:p>
        <a:p>
          <a:endParaRPr lang="fr-FR" sz="1100" baseline="0"/>
        </a:p>
        <a:p>
          <a:r>
            <a:rPr lang="fr-FR"/>
            <a:t>Par conséquent, nous estimerons la consommation de carburant à partir de</a:t>
          </a:r>
          <a:r>
            <a:rPr lang="fr-FR" baseline="0"/>
            <a:t> toutes les factures de carburant</a:t>
          </a:r>
          <a:r>
            <a:rPr lang="fr-FR"/>
            <a:t>.</a:t>
          </a:r>
        </a:p>
        <a:p>
          <a:endParaRPr lang="fr-FR"/>
        </a:p>
        <a:p>
          <a:r>
            <a:rPr lang="fr-FR"/>
            <a:t>Il est raisonnable de supposer que les véhicules en circulation durant les deux premières semaines de</a:t>
          </a:r>
          <a:r>
            <a:rPr lang="fr-FR" baseline="0"/>
            <a:t> janvier</a:t>
          </a:r>
          <a:r>
            <a:rPr lang="fr-FR"/>
            <a:t> contenaient encore du carburant acquis fin septembre. Pour ajuster cette estimation, nous inclurons bien toute le litrage</a:t>
          </a:r>
          <a:r>
            <a:rPr lang="fr-FR" baseline="0"/>
            <a:t> de carburant de décembre, même si des litres de carburant de ce mois n'ont été consommés qu'en début janvier.</a:t>
          </a:r>
          <a:endParaRPr lang="fr-FR" sz="1100"/>
        </a:p>
      </xdr:txBody>
    </xdr:sp>
    <xdr:clientData/>
  </xdr:twoCellAnchor>
  <xdr:twoCellAnchor>
    <xdr:from>
      <xdr:col>59</xdr:col>
      <xdr:colOff>139700</xdr:colOff>
      <xdr:row>38</xdr:row>
      <xdr:rowOff>149224</xdr:rowOff>
    </xdr:from>
    <xdr:to>
      <xdr:col>79</xdr:col>
      <xdr:colOff>222250</xdr:colOff>
      <xdr:row>76</xdr:row>
      <xdr:rowOff>127000</xdr:rowOff>
    </xdr:to>
    <xdr:graphicFrame macro="">
      <xdr:nvGraphicFramePr>
        <xdr:cNvPr id="3" name="Graphique 2">
          <a:extLst>
            <a:ext uri="{FF2B5EF4-FFF2-40B4-BE49-F238E27FC236}">
              <a16:creationId xmlns:a16="http://schemas.microsoft.com/office/drawing/2014/main" id="{C2578BBD-E8A4-4D54-9101-59C99331F8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xdr:from>
          <xdr:col>59</xdr:col>
          <xdr:colOff>556260</xdr:colOff>
          <xdr:row>21</xdr:row>
          <xdr:rowOff>68580</xdr:rowOff>
        </xdr:from>
        <xdr:to>
          <xdr:col>65</xdr:col>
          <xdr:colOff>251460</xdr:colOff>
          <xdr:row>31</xdr:row>
          <xdr:rowOff>0</xdr:rowOff>
        </xdr:to>
        <xdr:sp macro="" textlink="">
          <xdr:nvSpPr>
            <xdr:cNvPr id="3073" name="Button 1" hidden="1">
              <a:extLst>
                <a:ext uri="{63B3BB69-23CF-44E3-9099-C40C66FF867C}">
                  <a14:compatExt spid="_x0000_s3073"/>
                </a:ext>
                <a:ext uri="{FF2B5EF4-FFF2-40B4-BE49-F238E27FC236}">
                  <a16:creationId xmlns:a16="http://schemas.microsoft.com/office/drawing/2014/main" id="{00000000-0008-0000-0200-0000010C0000}"/>
                </a:ext>
              </a:extLst>
            </xdr:cNvPr>
            <xdr:cNvSpPr/>
          </xdr:nvSpPr>
          <xdr:spPr bwMode="auto">
            <a:xfrm>
              <a:off x="0" y="0"/>
              <a:ext cx="0" cy="0"/>
            </a:xfrm>
            <a:prstGeom prst="rect">
              <a:avLst/>
            </a:prstGeom>
            <a:noFill/>
            <a:ln w="9525">
              <a:miter lim="800000"/>
              <a:headEnd/>
              <a:tailEnd/>
            </a:ln>
          </xdr:spPr>
          <xdr:txBody>
            <a:bodyPr vertOverflow="clip" wrap="square" lIns="54864" tIns="59436" rIns="54864" bIns="59436" anchor="ctr" upright="1"/>
            <a:lstStyle/>
            <a:p>
              <a:pPr algn="ctr" rtl="0">
                <a:defRPr sz="1000"/>
              </a:pPr>
              <a:r>
                <a:rPr lang="fr-FR" sz="2400" b="1" i="0" u="none" strike="noStrike" baseline="0">
                  <a:solidFill>
                    <a:srgbClr val="000000"/>
                  </a:solidFill>
                  <a:latin typeface="Calibri"/>
                  <a:ea typeface="Calibri"/>
                  <a:cs typeface="Calibri"/>
                </a:rPr>
                <a:t>Emissions </a:t>
              </a:r>
              <a:r>
                <a:rPr lang="fr-FR" sz="2400" b="1" i="0" u="sng" strike="noStrike" baseline="0">
                  <a:solidFill>
                    <a:srgbClr val="000000"/>
                  </a:solidFill>
                  <a:latin typeface="Calibri"/>
                  <a:ea typeface="Calibri"/>
                  <a:cs typeface="Calibri"/>
                </a:rPr>
                <a:t>de CO2e</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18</xdr:col>
      <xdr:colOff>141338</xdr:colOff>
      <xdr:row>0</xdr:row>
      <xdr:rowOff>11061</xdr:rowOff>
    </xdr:from>
    <xdr:to>
      <xdr:col>23</xdr:col>
      <xdr:colOff>780435</xdr:colOff>
      <xdr:row>14</xdr:row>
      <xdr:rowOff>173293</xdr:rowOff>
    </xdr:to>
    <xdr:graphicFrame macro="">
      <xdr:nvGraphicFramePr>
        <xdr:cNvPr id="2" name="Graphique 1">
          <a:extLst>
            <a:ext uri="{FF2B5EF4-FFF2-40B4-BE49-F238E27FC236}">
              <a16:creationId xmlns:a16="http://schemas.microsoft.com/office/drawing/2014/main" id="{D888B196-62DB-C200-807F-6F46923664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357101</xdr:colOff>
      <xdr:row>19</xdr:row>
      <xdr:rowOff>58175</xdr:rowOff>
    </xdr:from>
    <xdr:to>
      <xdr:col>10</xdr:col>
      <xdr:colOff>209617</xdr:colOff>
      <xdr:row>34</xdr:row>
      <xdr:rowOff>36052</xdr:rowOff>
    </xdr:to>
    <xdr:graphicFrame macro="">
      <xdr:nvGraphicFramePr>
        <xdr:cNvPr id="3" name="Graphique 2">
          <a:extLst>
            <a:ext uri="{FF2B5EF4-FFF2-40B4-BE49-F238E27FC236}">
              <a16:creationId xmlns:a16="http://schemas.microsoft.com/office/drawing/2014/main" id="{336CA973-6F78-1BD7-FAE7-27E6A2D442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485468</xdr:colOff>
      <xdr:row>0</xdr:row>
      <xdr:rowOff>0</xdr:rowOff>
    </xdr:from>
    <xdr:to>
      <xdr:col>30</xdr:col>
      <xdr:colOff>337984</xdr:colOff>
      <xdr:row>14</xdr:row>
      <xdr:rowOff>162232</xdr:rowOff>
    </xdr:to>
    <xdr:graphicFrame macro="">
      <xdr:nvGraphicFramePr>
        <xdr:cNvPr id="4" name="Graphique 3">
          <a:extLst>
            <a:ext uri="{FF2B5EF4-FFF2-40B4-BE49-F238E27FC236}">
              <a16:creationId xmlns:a16="http://schemas.microsoft.com/office/drawing/2014/main" id="{3C4310F9-719B-1C5D-09F7-4968AAC7B0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450220</xdr:colOff>
      <xdr:row>17</xdr:row>
      <xdr:rowOff>124140</xdr:rowOff>
    </xdr:from>
    <xdr:to>
      <xdr:col>27</xdr:col>
      <xdr:colOff>597814</xdr:colOff>
      <xdr:row>33</xdr:row>
      <xdr:rowOff>44621</xdr:rowOff>
    </xdr:to>
    <xdr:sp macro="" textlink="">
      <xdr:nvSpPr>
        <xdr:cNvPr id="5" name="ZoneTexte 4">
          <a:extLst>
            <a:ext uri="{FF2B5EF4-FFF2-40B4-BE49-F238E27FC236}">
              <a16:creationId xmlns:a16="http://schemas.microsoft.com/office/drawing/2014/main" id="{4E480863-712B-5E2E-22EA-35C8324361BA}"/>
            </a:ext>
          </a:extLst>
        </xdr:cNvPr>
        <xdr:cNvSpPr txBox="1"/>
      </xdr:nvSpPr>
      <xdr:spPr>
        <a:xfrm>
          <a:off x="14536923" y="3275113"/>
          <a:ext cx="7190945" cy="28861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Pour</a:t>
          </a:r>
          <a:r>
            <a:rPr lang="fr-FR" sz="1100" baseline="0"/>
            <a:t> estimer par régression linéaire nous vons choisi trois principaux paramètres d'entrées, toutes les datats nettoyées d'emissions des 18 mois précedents, l'évolution du CA, ainsi que l'impact des périodes de l'années. Pour estimer au mieux.</a:t>
          </a:r>
        </a:p>
        <a:p>
          <a:endParaRPr lang="fr-FR" sz="1100" baseline="0"/>
        </a:p>
        <a:p>
          <a:r>
            <a:rPr lang="fr-FR" sz="1100" baseline="0"/>
            <a:t>Emissions 18 mois : Datas récupérées directements</a:t>
          </a:r>
        </a:p>
        <a:p>
          <a:pPr marL="0" marR="0" lvl="0" indent="0" defTabSz="914400" eaLnBrk="1" fontAlgn="auto" latinLnBrk="0" hangingPunct="1">
            <a:lnSpc>
              <a:spcPct val="100000"/>
            </a:lnSpc>
            <a:spcBef>
              <a:spcPts val="0"/>
            </a:spcBef>
            <a:spcAft>
              <a:spcPts val="0"/>
            </a:spcAft>
            <a:buClrTx/>
            <a:buSzTx/>
            <a:buFontTx/>
            <a:buNone/>
            <a:tabLst/>
            <a:defRPr/>
          </a:pPr>
          <a:r>
            <a:rPr lang="fr-FR" sz="1100" baseline="0"/>
            <a:t>Evolution CA : </a:t>
          </a:r>
          <a:r>
            <a:rPr lang="fr-FR" sz="1100" baseline="0">
              <a:solidFill>
                <a:schemeClr val="dk1"/>
              </a:solidFill>
              <a:effectLst/>
              <a:latin typeface="+mn-lt"/>
              <a:ea typeface="+mn-ea"/>
              <a:cs typeface="+mn-cs"/>
            </a:rPr>
            <a:t>Datas récupérées directements</a:t>
          </a:r>
          <a:endParaRPr lang="fr-FR">
            <a:effectLst/>
          </a:endParaRPr>
        </a:p>
        <a:p>
          <a:r>
            <a:rPr lang="fr-FR" sz="1100"/>
            <a:t>Impact des périodes de l'année:</a:t>
          </a:r>
          <a:r>
            <a:rPr lang="fr-FR" sz="1100" baseline="0"/>
            <a:t> datas obtenus à partir des datas de kilometres parcourus (discretisation par quantile), corrélés avec analyse pour ne pas sur boosté les datas des emissions</a:t>
          </a:r>
          <a:endParaRPr lang="fr-FR"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14</xdr:col>
      <xdr:colOff>23425</xdr:colOff>
      <xdr:row>4</xdr:row>
      <xdr:rowOff>40829</xdr:rowOff>
    </xdr:from>
    <xdr:to>
      <xdr:col>20</xdr:col>
      <xdr:colOff>780816</xdr:colOff>
      <xdr:row>19</xdr:row>
      <xdr:rowOff>17969</xdr:rowOff>
    </xdr:to>
    <xdr:sp macro="" textlink="">
      <xdr:nvSpPr>
        <xdr:cNvPr id="2" name="ZoneTexte 1">
          <a:extLst>
            <a:ext uri="{FF2B5EF4-FFF2-40B4-BE49-F238E27FC236}">
              <a16:creationId xmlns:a16="http://schemas.microsoft.com/office/drawing/2014/main" id="{A21B1D6C-9D07-751F-4323-B49F61EFCBCC}"/>
            </a:ext>
          </a:extLst>
        </xdr:cNvPr>
        <xdr:cNvSpPr txBox="1"/>
      </xdr:nvSpPr>
      <xdr:spPr>
        <a:xfrm>
          <a:off x="11086536" y="755792"/>
          <a:ext cx="5498724" cy="26582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b="1"/>
            <a:t>➤ Option simple (baseline) :</a:t>
          </a:r>
        </a:p>
        <a:p>
          <a:r>
            <a:rPr lang="fr-FR" b="1"/>
            <a:t>Régression linéaire</a:t>
          </a:r>
          <a:r>
            <a:rPr lang="fr-FR"/>
            <a:t> sur les mois (x = 1 à 10, y = émission).</a:t>
          </a:r>
        </a:p>
        <a:p>
          <a:r>
            <a:rPr lang="fr-FR"/>
            <a:t>Utile pour poser une tendance.</a:t>
          </a:r>
        </a:p>
        <a:p>
          <a:r>
            <a:rPr lang="fr-FR" b="1"/>
            <a:t>➤ Option plus robuste :</a:t>
          </a:r>
        </a:p>
        <a:p>
          <a:r>
            <a:rPr lang="fr-FR" b="1"/>
            <a:t>Modèle de séries temporelles</a:t>
          </a:r>
          <a:r>
            <a:rPr lang="fr-FR"/>
            <a:t> :</a:t>
          </a:r>
        </a:p>
        <a:p>
          <a:pPr lvl="1"/>
          <a:r>
            <a:rPr lang="fr-FR"/>
            <a:t>Ex. : </a:t>
          </a:r>
          <a:r>
            <a:rPr lang="fr-FR" b="1"/>
            <a:t>ARIMA</a:t>
          </a:r>
          <a:r>
            <a:rPr lang="fr-FR"/>
            <a:t> ou </a:t>
          </a:r>
          <a:r>
            <a:rPr lang="fr-FR" b="1"/>
            <a:t>Exponential Smoothing</a:t>
          </a:r>
          <a:r>
            <a:rPr lang="fr-FR"/>
            <a:t>.</a:t>
          </a:r>
        </a:p>
        <a:p>
          <a:pPr lvl="1"/>
          <a:r>
            <a:rPr lang="fr-FR"/>
            <a:t>Avantage : ces modèles prennent en compte tendance + saisonnalité.</a:t>
          </a:r>
        </a:p>
        <a:p>
          <a:r>
            <a:rPr lang="fr-FR" b="1"/>
            <a:t>➤ Option avancée (plus tard) :</a:t>
          </a:r>
        </a:p>
        <a:p>
          <a:r>
            <a:rPr lang="fr-FR"/>
            <a:t>Modèles ML : RandomForestRegressor, XGBoost, etc.</a:t>
          </a:r>
        </a:p>
        <a:p>
          <a:r>
            <a:rPr lang="fr-FR"/>
            <a:t>Mais à ce stade, ARIMA ou Linear Regression suffisent largement.</a:t>
          </a:r>
        </a:p>
        <a:p>
          <a:endParaRPr lang="fr-FR" sz="1100"/>
        </a:p>
      </xdr:txBody>
    </xdr:sp>
    <xdr:clientData/>
  </xdr:twoCellAnchor>
  <xdr:twoCellAnchor>
    <xdr:from>
      <xdr:col>9</xdr:col>
      <xdr:colOff>530201</xdr:colOff>
      <xdr:row>3</xdr:row>
      <xdr:rowOff>164912</xdr:rowOff>
    </xdr:from>
    <xdr:to>
      <xdr:col>12</xdr:col>
      <xdr:colOff>652121</xdr:colOff>
      <xdr:row>18</xdr:row>
      <xdr:rowOff>134432</xdr:rowOff>
    </xdr:to>
    <xdr:sp macro="" textlink="">
      <xdr:nvSpPr>
        <xdr:cNvPr id="3" name="ZoneTexte 2">
          <a:extLst>
            <a:ext uri="{FF2B5EF4-FFF2-40B4-BE49-F238E27FC236}">
              <a16:creationId xmlns:a16="http://schemas.microsoft.com/office/drawing/2014/main" id="{EE0A26F4-0BB6-9518-98FC-3390C25D0869}"/>
            </a:ext>
          </a:extLst>
        </xdr:cNvPr>
        <xdr:cNvSpPr txBox="1"/>
      </xdr:nvSpPr>
      <xdr:spPr>
        <a:xfrm>
          <a:off x="7642201" y="701134"/>
          <a:ext cx="2492587" cy="26506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b="1"/>
            <a:t>La variable intensité_mensuelle_km a été construite par discrétisation du kilométrage mensuel en 3 niveaux</a:t>
          </a:r>
          <a:r>
            <a:rPr lang="fr-FR"/>
            <a:t> (faible, moyen, fort).</a:t>
          </a:r>
          <a:br>
            <a:rPr lang="fr-FR"/>
          </a:br>
          <a:r>
            <a:rPr lang="fr-FR"/>
            <a:t>Ce choix permet de simplifier l'interprétation tout en conservant une représentation fidèle de l’activité réelle de transport.</a:t>
          </a:r>
          <a:br>
            <a:rPr lang="fr-FR"/>
          </a:br>
          <a:r>
            <a:rPr lang="fr-FR"/>
            <a:t>Trois classes assurent un bon compromis entre lisibilité du modèle et pertinence métier.</a:t>
          </a:r>
          <a:endParaRPr lang="fr-FR" sz="1100"/>
        </a:p>
      </xdr:txBody>
    </xdr:sp>
    <xdr:clientData/>
  </xdr:twoCellAnchor>
  <xdr:twoCellAnchor>
    <xdr:from>
      <xdr:col>2</xdr:col>
      <xdr:colOff>282223</xdr:colOff>
      <xdr:row>3</xdr:row>
      <xdr:rowOff>94074</xdr:rowOff>
    </xdr:from>
    <xdr:to>
      <xdr:col>8</xdr:col>
      <xdr:colOff>329259</xdr:colOff>
      <xdr:row>17</xdr:row>
      <xdr:rowOff>141111</xdr:rowOff>
    </xdr:to>
    <xdr:sp macro="" textlink="">
      <xdr:nvSpPr>
        <xdr:cNvPr id="4" name="ZoneTexte 3">
          <a:extLst>
            <a:ext uri="{FF2B5EF4-FFF2-40B4-BE49-F238E27FC236}">
              <a16:creationId xmlns:a16="http://schemas.microsoft.com/office/drawing/2014/main" id="{908A2E15-4EE2-85FE-566A-B38A0FB92FC5}"/>
            </a:ext>
          </a:extLst>
        </xdr:cNvPr>
        <xdr:cNvSpPr txBox="1"/>
      </xdr:nvSpPr>
      <xdr:spPr>
        <a:xfrm>
          <a:off x="1862667" y="630296"/>
          <a:ext cx="4788370" cy="25494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2</xdr:col>
      <xdr:colOff>282223</xdr:colOff>
      <xdr:row>3</xdr:row>
      <xdr:rowOff>94074</xdr:rowOff>
    </xdr:from>
    <xdr:to>
      <xdr:col>9</xdr:col>
      <xdr:colOff>9407</xdr:colOff>
      <xdr:row>19</xdr:row>
      <xdr:rowOff>4781</xdr:rowOff>
    </xdr:to>
    <xdr:sp macro="" textlink="">
      <xdr:nvSpPr>
        <xdr:cNvPr id="5" name="ZoneTexte 4">
          <a:extLst>
            <a:ext uri="{FF2B5EF4-FFF2-40B4-BE49-F238E27FC236}">
              <a16:creationId xmlns:a16="http://schemas.microsoft.com/office/drawing/2014/main" id="{90E7320E-8B9E-4B47-AC97-28C8A3A47C7F}"/>
            </a:ext>
          </a:extLst>
        </xdr:cNvPr>
        <xdr:cNvSpPr txBox="1"/>
      </xdr:nvSpPr>
      <xdr:spPr>
        <a:xfrm>
          <a:off x="1862667" y="630296"/>
          <a:ext cx="5258740" cy="27705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Pour</a:t>
          </a:r>
          <a:r>
            <a:rPr lang="fr-FR" sz="1100" baseline="0"/>
            <a:t> estimer par régression linéaire nous vons choisi trois principaux paramètres d'entrées, toutes les datats nettoyées d'emissions des 18 mois précedents, l'évolution du CA, ainsi que l'impact des périodes de l'années. Pour estimer au mieux.</a:t>
          </a:r>
        </a:p>
        <a:p>
          <a:endParaRPr lang="fr-FR" sz="1100" baseline="0"/>
        </a:p>
        <a:p>
          <a:r>
            <a:rPr lang="fr-FR" sz="1100" baseline="0"/>
            <a:t>Emissions 18 mois : Datas récupérées directements</a:t>
          </a:r>
        </a:p>
        <a:p>
          <a:pPr marL="0" marR="0" lvl="0" indent="0" defTabSz="914400" eaLnBrk="1" fontAlgn="auto" latinLnBrk="0" hangingPunct="1">
            <a:lnSpc>
              <a:spcPct val="100000"/>
            </a:lnSpc>
            <a:spcBef>
              <a:spcPts val="0"/>
            </a:spcBef>
            <a:spcAft>
              <a:spcPts val="0"/>
            </a:spcAft>
            <a:buClrTx/>
            <a:buSzTx/>
            <a:buFontTx/>
            <a:buNone/>
            <a:tabLst/>
            <a:defRPr/>
          </a:pPr>
          <a:r>
            <a:rPr lang="fr-FR" sz="1100" baseline="0"/>
            <a:t>Evolution CA : </a:t>
          </a:r>
          <a:r>
            <a:rPr lang="fr-FR" sz="1100" baseline="0">
              <a:solidFill>
                <a:schemeClr val="dk1"/>
              </a:solidFill>
              <a:effectLst/>
              <a:latin typeface="+mn-lt"/>
              <a:ea typeface="+mn-ea"/>
              <a:cs typeface="+mn-cs"/>
            </a:rPr>
            <a:t>Datas récupérées directements</a:t>
          </a:r>
          <a:endParaRPr lang="fr-FR">
            <a:effectLst/>
          </a:endParaRPr>
        </a:p>
        <a:p>
          <a:r>
            <a:rPr lang="fr-FR" sz="1100"/>
            <a:t>Impact des périodes de l'année:</a:t>
          </a:r>
          <a:r>
            <a:rPr lang="fr-FR" sz="1100" baseline="0"/>
            <a:t> datas obtenus à partir des datas de kilometres parcourus (discretisation par quantile), corrélés avec analyse pour ne pas sur boosté les datas des emissions</a:t>
          </a:r>
          <a:endParaRPr lang="fr-FR"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athi\Desktop\Stage\Dupasquier%20Bilan%20Carbone%20Babinot\2.%20Travaux\Emissions+\consomation+\Emission%20de%20CO2+.xlsx.xlsm" TargetMode="External"/><Relationship Id="rId1" Type="http://schemas.openxmlformats.org/officeDocument/2006/relationships/externalLinkPath" Target="/Users/mathi/Desktop/Stage/Dupasquier%20Bilan%20Carbone%20Babinot/2.%20Travaux/Emissions+/consomation+/Emission%20de%20CO2+.xlsx.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ynthèse"/>
      <sheetName val="TOTAL"/>
      <sheetName val="Parc Global 2023-2024"/>
      <sheetName val="Parc Global 2023"/>
      <sheetName val="Kilometrage "/>
      <sheetName val="Parc BUS(janvier- juin)"/>
      <sheetName val="(NON ) CO2 par km.P"/>
      <sheetName val="(NON) émission par passager "/>
      <sheetName val="VL Gasoil (janvier- juin)"/>
      <sheetName val="VL ESSENCE(janvier- juin)"/>
      <sheetName val="ELEC (janvier- juin)"/>
      <sheetName val="COMMANDE (octobre-septemb 2024)"/>
      <sheetName val="Commande 2023"/>
      <sheetName val="huile (année)"/>
      <sheetName val="ADBLUE + LR (année complète)"/>
      <sheetName val="Trajet collaborateurs domicile"/>
      <sheetName val="Consommation électrique"/>
      <sheetName val="Fiche idée"/>
      <sheetName val="Emission de CO2+.xlsx"/>
    </sheetNames>
    <definedNames>
      <definedName name="RechercherEmissions"/>
    </definedNames>
    <sheetDataSet>
      <sheetData sheetId="0"/>
      <sheetData sheetId="1">
        <row r="7">
          <cell r="K7" t="str">
            <v>Kg CO2e</v>
          </cell>
        </row>
        <row r="8">
          <cell r="J8" t="str">
            <v>Emissions Bus</v>
          </cell>
          <cell r="K8">
            <v>4387963.3836714001</v>
          </cell>
        </row>
        <row r="9">
          <cell r="J9" t="str">
            <v>Emissions V-L</v>
          </cell>
          <cell r="K9">
            <v>220321.6283286</v>
          </cell>
        </row>
        <row r="10">
          <cell r="J10" t="str">
            <v>Emissions Elec totale</v>
          </cell>
          <cell r="K10">
            <v>4516.2520000000004</v>
          </cell>
        </row>
        <row r="11">
          <cell r="J11" t="str">
            <v>Emissions commandes</v>
          </cell>
          <cell r="K11">
            <v>65860.22</v>
          </cell>
        </row>
        <row r="12">
          <cell r="J12" t="str">
            <v>Emissions trajets collaborateurs</v>
          </cell>
          <cell r="K12">
            <v>59935.38</v>
          </cell>
        </row>
      </sheetData>
      <sheetData sheetId="2">
        <row r="64">
          <cell r="AC64">
            <v>220321.6283286</v>
          </cell>
        </row>
        <row r="68">
          <cell r="AC68">
            <v>4387963.3836714001</v>
          </cell>
        </row>
      </sheetData>
      <sheetData sheetId="3">
        <row r="14">
          <cell r="X14">
            <v>325806.6679</v>
          </cell>
          <cell r="AP14">
            <v>374825.86710000009</v>
          </cell>
        </row>
        <row r="16">
          <cell r="F16">
            <v>298754.07010000001</v>
          </cell>
        </row>
        <row r="32">
          <cell r="AP32">
            <v>307984.09200000006</v>
          </cell>
        </row>
        <row r="33">
          <cell r="F33">
            <v>255297.84960000005</v>
          </cell>
          <cell r="X33">
            <v>323921.96540000004</v>
          </cell>
        </row>
        <row r="48">
          <cell r="F48">
            <v>333832.90549999994</v>
          </cell>
        </row>
        <row r="49">
          <cell r="X49">
            <v>185785.16400000005</v>
          </cell>
          <cell r="AP49">
            <v>528830.13099999994</v>
          </cell>
        </row>
        <row r="63">
          <cell r="F63">
            <v>234384.64640000003</v>
          </cell>
        </row>
        <row r="65">
          <cell r="X65">
            <v>158408.8028</v>
          </cell>
        </row>
        <row r="68">
          <cell r="AP68">
            <v>418137.14900000009</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3B9C2F63-4C46-4C64-821B-9407FA07F478}" name="Tableau24" displayName="Tableau24" ref="J7:K12" totalsRowShown="0">
  <autoFilter ref="J7:K12" xr:uid="{3B9C2F63-4C46-4C64-821B-9407FA07F478}"/>
  <tableColumns count="2">
    <tableColumn id="1" xr3:uid="{84E9F34D-3A45-4E23-B1ED-37A1940A537F}" name="Sources" dataDxfId="88"/>
    <tableColumn id="2" xr3:uid="{30C8644D-FE43-464F-B4E6-5E1D797914A4}" name="Kg CO2e"/>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AFB6E9E7-66DA-4B1B-92C5-448969CD5351}" name="Tableau2439" displayName="Tableau2439" ref="O8:P13" totalsRowShown="0">
  <autoFilter ref="O8:P13" xr:uid="{AFB6E9E7-66DA-4B1B-92C5-448969CD5351}"/>
  <tableColumns count="2">
    <tableColumn id="1" xr3:uid="{8D552323-F4DA-4A01-AA73-576F432C2AB3}" name="Sources" dataDxfId="87"/>
    <tableColumn id="2" xr3:uid="{FD0A8312-58B3-4E17-A954-7216CE6E2778}" name="Kg CO2e"/>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C4AF2D1A-40C6-4968-A7C8-1BB3F7E5953A}" name="Tableau18" displayName="Tableau18" ref="B11:G14" totalsRowShown="0" headerRowDxfId="86">
  <autoFilter ref="B11:G14" xr:uid="{C4AF2D1A-40C6-4968-A7C8-1BB3F7E5953A}"/>
  <tableColumns count="6">
    <tableColumn id="1" xr3:uid="{5A296C53-8448-475E-B792-A794A71C8479}" name="Nom" dataDxfId="85"/>
    <tableColumn id="2" xr3:uid="{6C87E659-96E5-46F2-9E71-DA0F0569E02D}" name="Effectif" dataDxfId="84"/>
    <tableColumn id="3" xr3:uid="{F91DAC3B-3D81-46B2-9E98-F6D088B9B5F3}" name="Kg CO2e" dataDxfId="83"/>
    <tableColumn id="4" xr3:uid="{3327A1BC-466B-45CF-A7E5-5777C948E7AA}" name="CA" dataDxfId="82"/>
    <tableColumn id="5" xr3:uid="{699A0DA3-CF0E-4E45-ABD3-F0EBB3559999}" name="Rapport Kg CO2e/€">
      <calculatedColumnFormula>D12/E12</calculatedColumnFormula>
    </tableColumn>
    <tableColumn id="6" xr3:uid="{5389AE5B-C6C9-4C53-8F4C-47EE3E4B3DF0}" name="Lieu" dataDxfId="81"/>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B3234DB3-BF99-4CB9-84A3-DBF66F777767}" name="Tableau29" displayName="Tableau29" ref="N32:O33" totalsRowShown="0" headerRowDxfId="80">
  <autoFilter ref="N32:O33" xr:uid="{B3234DB3-BF99-4CB9-84A3-DBF66F777767}"/>
  <tableColumns count="2">
    <tableColumn id="1" xr3:uid="{93427610-2C0B-4F00-80F8-1808CE45FBD7}" name="Sources" dataDxfId="79"/>
    <tableColumn id="2" xr3:uid="{AED7B9F0-7491-4B3D-AD02-B7278635C84D}" name="Km"/>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50EE05-E144-40BB-A319-4EDFE8FD7B4D}" name="Tableau573" displayName="Tableau573" ref="J2:J7" totalsRowCount="1" headerRowDxfId="78" totalsRowCellStyle="Insatisfaisant">
  <autoFilter ref="J2:J6" xr:uid="{A650EE05-E144-40BB-A319-4EDFE8FD7B4D}"/>
  <tableColumns count="1">
    <tableColumn id="1" xr3:uid="{25A8F1FD-36C2-49C3-BDF2-C6047D51BB14}" name="16-oct" totalsRowFunction="custom" totalsRowCellStyle="Insatisfaisant">
      <totalsRowFormula>SUM(Tableau573[16-oct])</totalsRowFormula>
    </tableColumn>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B850F11-0D8D-4EFB-80EF-BACF75AE9806}" name="Tableau674" displayName="Tableau674" ref="L2:L5" totalsRowShown="0" headerRowDxfId="77">
  <autoFilter ref="L2:L5" xr:uid="{2B850F11-0D8D-4EFB-80EF-BACF75AE9806}"/>
  <tableColumns count="1">
    <tableColumn id="1" xr3:uid="{F38802B5-5801-41B0-B80E-90D23FCE9A93}" name="31-oct"/>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72015AD-6CA1-4DAB-9F4B-724BE16FA73E}" name="Tableau875" displayName="Tableau875" ref="H2:H3" totalsRowShown="0" headerRowDxfId="76" dataCellStyle="Insatisfaisant">
  <autoFilter ref="H2:H3" xr:uid="{D72015AD-6CA1-4DAB-9F4B-724BE16FA73E}"/>
  <tableColumns count="1">
    <tableColumn id="1" xr3:uid="{5D2EB541-8FEA-48E5-A29F-E0176FEAE07E}" name="16-oct" dataCellStyle="Insatisfaisant"/>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A953AAE-B2B2-4B25-9197-69B028816D51}" name="Tableau976" displayName="Tableau976" ref="D2:F4" totalsRowShown="0" headerRowDxfId="75">
  <autoFilter ref="D2:F4" xr:uid="{EA953AAE-B2B2-4B25-9197-69B028816D51}"/>
  <tableColumns count="3">
    <tableColumn id="1" xr3:uid="{9BDD97EE-653E-4B90-8461-1D4FB26426E4}" name="10-oct"/>
    <tableColumn id="2" xr3:uid="{DDDDCE7B-F889-4645-8C5C-1E7619B108A5}" name="20-oct"/>
    <tableColumn id="3" xr3:uid="{C65C4999-7655-49A2-A001-E95BE7335116}" name="30-oct"/>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CF0E6A5-8352-47B7-83DC-E54FCA278E20}" name="Tableau2177" displayName="Tableau2177" ref="N2:Q5" totalsRowShown="0" headerRowDxfId="74">
  <autoFilter ref="N2:Q5" xr:uid="{4CF0E6A5-8352-47B7-83DC-E54FCA278E20}"/>
  <tableColumns count="4">
    <tableColumn id="1" xr3:uid="{AB3AC56B-193D-4FBE-AC4E-2449DC760630}" name="08-oct"/>
    <tableColumn id="2" xr3:uid="{3F22B952-A03B-4AC9-9549-F640903F1A74}" name="15-oct"/>
    <tableColumn id="3" xr3:uid="{17FC8D15-D974-4B17-A03F-452C607303A0}" name="23-oct"/>
    <tableColumn id="4" xr3:uid="{A4749B49-92FB-45ED-85B7-2FE46ABC9FFE}" name="31-oct"/>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5D90FC8-741E-4215-B08A-15D81D4546D5}" name="Tableau166778" displayName="Tableau166778" ref="T35:V60" totalsRowShown="0" headerRowDxfId="73">
  <autoFilter ref="T35:V60" xr:uid="{75D90FC8-741E-4215-B08A-15D81D4546D5}"/>
  <tableColumns count="3">
    <tableColumn id="1" xr3:uid="{5AA39F04-EFE2-4B4E-AFC2-8C7E09975539}" name="04-déc"/>
    <tableColumn id="2" xr3:uid="{A29374AF-D0C8-4745-BABA-B2CBD08B179D}" name="19-déc"/>
    <tableColumn id="3" xr3:uid="{0FCA648C-250E-4659-B2CE-184CFF53DD6F}" name="30-déc"/>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671D048-71E3-4FA9-9E5E-03B51717F89F}" name="Tableau176879" displayName="Tableau176879" ref="F35:H36" totalsRowShown="0" headerRowDxfId="72" dataCellStyle="Insatisfaisant">
  <autoFilter ref="F35:H36" xr:uid="{7671D048-71E3-4FA9-9E5E-03B51717F89F}"/>
  <tableColumns count="3">
    <tableColumn id="1" xr3:uid="{E4346451-409C-42CE-BC8D-805D0D7EE446}" name="10-déc" dataCellStyle="Insatisfaisant"/>
    <tableColumn id="2" xr3:uid="{06A821C9-2564-4F7F-B8BF-83BD8CE270B6}" name="20-déc" dataCellStyle="Insatisfaisant"/>
    <tableColumn id="3" xr3:uid="{FE6CE775-A1BA-48A6-9E41-E2B5B35E460D}" name="30-déc" dataCellStyle="Insatisfaisant"/>
  </tableColumns>
  <tableStyleInfo name="TableStyleLight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0F964BF-C874-4315-90B1-8B5CC16979C8}" name="Tableau186980" displayName="Tableau186980" ref="O35:O39" totalsRowShown="0" headerRowDxfId="71">
  <autoFilter ref="O35:O39" xr:uid="{40F964BF-C874-4315-90B1-8B5CC16979C8}"/>
  <tableColumns count="1">
    <tableColumn id="1" xr3:uid="{0D91C9FD-6D37-497D-9D14-27671E47B210}" name="01-déc"/>
  </tableColumns>
  <tableStyleInfo name="TableStyleLight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C821AA6-F862-4285-A197-5356EA5B38A3}" name="Tableau197081" displayName="Tableau197081" ref="Q35:Q37" totalsRowShown="0" headerRowDxfId="70" headerRowCellStyle="Neutre" dataCellStyle="Neutre">
  <autoFilter ref="Q35:Q37" xr:uid="{EC821AA6-F862-4285-A197-5356EA5B38A3}"/>
  <tableColumns count="1">
    <tableColumn id="1" xr3:uid="{379A94AA-F524-42BC-AFCC-82A9EAA6E915}" name="15-déc"/>
  </tableColumns>
  <tableStyleInfo name="TableStyleLight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1AF0638-5331-42E4-B161-1150C76A4561}" name="Tableau207182" displayName="Tableau207182" ref="R35:R36" totalsRowShown="0" headerRowDxfId="69" dataCellStyle="Insatisfaisant">
  <autoFilter ref="R35:R36" xr:uid="{D1AF0638-5331-42E4-B161-1150C76A4561}"/>
  <tableColumns count="1">
    <tableColumn id="1" xr3:uid="{1518A125-8EAA-4111-AB17-845B79124B35}" name="31-déc" dataCellStyle="Insatisfaisant"/>
  </tableColumns>
  <tableStyleInfo name="TableStyleLight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7ADAC43-C1EA-49EE-87AC-41C339FC87FB}" name="Tableau237283" displayName="Tableau237283" ref="J36:M38" totalsRowShown="0" headerRowDxfId="68">
  <autoFilter ref="J36:M38" xr:uid="{D7ADAC43-C1EA-49EE-87AC-41C339FC87FB}"/>
  <tableColumns count="4">
    <tableColumn id="1" xr3:uid="{2FF49F43-03CC-45A2-A7E6-7AA0C22936D2}" name="08-déc"/>
    <tableColumn id="2" xr3:uid="{1639F124-1915-4948-95DA-867718957C29}" name="15-déc"/>
    <tableColumn id="3" xr3:uid="{8CB918A0-A6E3-42AA-B08D-36111152AA3C}" name="23-déc"/>
    <tableColumn id="4" xr3:uid="{C02CC52C-B765-4B62-A086-94EF76F2E8FF}" name="31-déc"/>
  </tableColumns>
  <tableStyleInfo name="TableStyleLight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C849B26-B60B-4108-B29E-E15F4AE9DEC9}" name="Tableau1184" displayName="Tableau1184" ref="R19:R23" totalsRowCount="1" headerRowDxfId="67" totalsRowCellStyle="Insatisfaisant">
  <autoFilter ref="R19:R22" xr:uid="{0C849B26-B60B-4108-B29E-E15F4AE9DEC9}"/>
  <tableColumns count="1">
    <tableColumn id="1" xr3:uid="{DE841B0C-F10C-4B6C-9FD0-226B3EDEAE18}" name="08-nov" totalsRowFunction="custom" totalsRowCellStyle="Insatisfaisant">
      <totalsRowFormula>SUM(Tableau1184[08-nov])</totalsRowFormula>
    </tableColumn>
  </tableColumns>
  <tableStyleInfo name="TableStyleLight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10977E2-A535-4AEA-AD61-D4C24081C45E}" name="Tableau1285" displayName="Tableau1285" ref="S19:T20" totalsRowShown="0" headerRowDxfId="66">
  <autoFilter ref="S19:T20" xr:uid="{210977E2-A535-4AEA-AD61-D4C24081C45E}"/>
  <tableColumns count="2">
    <tableColumn id="1" xr3:uid="{1ED9CC76-F5FE-43FF-A34D-F13C90015EE5}" name="15-nov"/>
    <tableColumn id="2" xr3:uid="{BC547C05-36D0-4018-8027-D21DF79A4037}" name="30-nov"/>
  </tableColumns>
  <tableStyleInfo name="TableStyleLight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603512D-A44F-4EE2-A22E-C04A97DBFD09}" name="Tableau1386" displayName="Tableau1386" ref="O19:P24" totalsRowCount="1" headerRowDxfId="65" totalsRowCellStyle="Insatisfaisant">
  <autoFilter ref="O19:P23" xr:uid="{6603512D-A44F-4EE2-A22E-C04A97DBFD09}"/>
  <tableColumns count="2">
    <tableColumn id="1" xr3:uid="{FFCDDF1D-2165-4460-9CCE-20153A495E17}" name="02-nov" totalsRowFunction="custom" totalsRowCellStyle="Insatisfaisant">
      <totalsRowFormula>SUM(Tableau1386[02-nov])</totalsRowFormula>
    </tableColumn>
    <tableColumn id="2" xr3:uid="{0EF17CC9-8016-4A18-980C-571B863837BA}" name="16-nov" totalsRowFunction="custom" totalsRowCellStyle="Insatisfaisant">
      <totalsRowFormula>SUM(Tableau1386[16-nov])</totalsRowFormula>
    </tableColumn>
  </tableColumns>
  <tableStyleInfo name="TableStyleLight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92E04F8-3247-49F4-B0E8-E71781079EEB}" name="Tableau1487" displayName="Tableau1487" ref="F19:H20" totalsRowShown="0" headerRowDxfId="64" dataCellStyle="Insatisfaisant">
  <autoFilter ref="F19:H20" xr:uid="{A92E04F8-3247-49F4-B0E8-E71781079EEB}"/>
  <tableColumns count="3">
    <tableColumn id="1" xr3:uid="{0220F285-1290-4E15-A049-CECCCAF457F4}" name="10-nov" dataCellStyle="Insatisfaisant"/>
    <tableColumn id="2" xr3:uid="{D2EB415A-026C-445C-8D7B-1974A8FD4545}" name="20-nov" dataCellStyle="Insatisfaisant"/>
    <tableColumn id="3" xr3:uid="{39E8EED9-668D-4987-A08E-3F38BE22ABC2}" name="30-nov" dataCellStyle="Insatisfaisant"/>
  </tableColumns>
  <tableStyleInfo name="TableStyleLight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35A00C6B-8D0B-4821-BCA3-717E8C68CD9D}" name="Tableau1588" displayName="Tableau1588" ref="V19:W30" totalsRowShown="0" headerRowDxfId="63">
  <autoFilter ref="V19:W30" xr:uid="{35A00C6B-8D0B-4821-BCA3-717E8C68CD9D}"/>
  <tableColumns count="2">
    <tableColumn id="1" xr3:uid="{57A1F8AF-EF31-4E37-8426-986F37F357E7}" name="02-nov"/>
    <tableColumn id="2" xr3:uid="{F5CF3CEA-714A-4EBD-A30E-717D151AAC44}" name="16-nov"/>
  </tableColumns>
  <tableStyleInfo name="TableStyleLight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4B1BAC1-F3A7-4210-A95F-98240CE3969A}" name="Tableau2289" displayName="Tableau2289" ref="J19:M21" totalsRowShown="0" headerRowDxfId="62">
  <autoFilter ref="J19:M21" xr:uid="{A4B1BAC1-F3A7-4210-A95F-98240CE3969A}"/>
  <tableColumns count="4">
    <tableColumn id="1" xr3:uid="{9208154E-7D82-40FF-A6DB-EEC43AC4DE51}" name="08-nov">
      <calculatedColumnFormula>477.75+35.55</calculatedColumnFormula>
    </tableColumn>
    <tableColumn id="2" xr3:uid="{2DFA3742-8E44-440F-80F8-B357844F98E1}" name="15-nov"/>
    <tableColumn id="3" xr3:uid="{11517949-C22B-481A-9A05-C058049C8610}" name="23-nov"/>
    <tableColumn id="4" xr3:uid="{DF4E5E8C-8804-4D8F-840E-12D59553683D}" name="30-nov"/>
  </tableColumns>
  <tableStyleInfo name="TableStyleLight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06451B7-3D6C-4DA7-B1BA-4B5A74980C3B}" name="Tableau3952" displayName="Tableau3952" ref="C21:E22" totalsRowShown="0" headerRowDxfId="61" headerRowCellStyle="Normal 2" dataCellStyle="Insatisfaisant">
  <autoFilter ref="C21:E22" xr:uid="{D06451B7-3D6C-4DA7-B1BA-4B5A74980C3B}"/>
  <tableColumns count="3">
    <tableColumn id="1" xr3:uid="{94A8C6CE-F21F-4A73-87BE-539CF4222BF6}" name="10-févr" dataCellStyle="Insatisfaisant"/>
    <tableColumn id="2" xr3:uid="{CD8E6C87-5968-471C-A11F-2CADA36519D7}" name="20-févr" dataCellStyle="Insatisfaisant"/>
    <tableColumn id="3" xr3:uid="{013005F5-B054-43C1-BDD7-3F4C7F2DEE43}" name="28-févr" dataCellStyle="Insatisfaisant"/>
  </tableColumns>
  <tableStyleInfo name="TableStyleLight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CA7E989-1DDD-4110-BD56-4DD9C2181E73}" name="Tableau4053" displayName="Tableau4053" ref="G21:H23" totalsRowShown="0" dataCellStyle="Insatisfaisant">
  <autoFilter ref="G21:H23" xr:uid="{DCA7E989-1DDD-4110-BD56-4DD9C2181E73}"/>
  <tableColumns count="2">
    <tableColumn id="1" xr3:uid="{09E68731-9142-4B89-BAE0-4DB1AD469BF7}" name="15-févr" dataCellStyle="Insatisfaisant"/>
    <tableColumn id="2" xr3:uid="{BD3F09A5-49D6-420B-826E-AA2F730610EE}" name="28-févr" dataCellStyle="Insatisfaisant"/>
  </tableColumns>
  <tableStyleInfo name="TableStyleLight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3465354A-9708-4EE6-AFC9-B5A8AB0E1678}" name="Tableau4154" displayName="Tableau4154" ref="J21:K23" totalsRowShown="0" headerRowDxfId="60" headerRowCellStyle="Normal 2" dataCellStyle="Insatisfaisant">
  <autoFilter ref="J21:K23" xr:uid="{3465354A-9708-4EE6-AFC9-B5A8AB0E1678}"/>
  <tableColumns count="2">
    <tableColumn id="1" xr3:uid="{9EC5449E-7D0F-4DEE-B5D2-DCFE3102E550}" name="15-févr" dataCellStyle="Insatisfaisant"/>
    <tableColumn id="2" xr3:uid="{687AAF57-BE38-4E74-B483-2D6BB439F61C}" name="28-févr" dataCellStyle="Insatisfaisant"/>
  </tableColumns>
  <tableStyleInfo name="TableStyleLight1"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5E545F54-5327-4CCB-B2B4-B69E8EAF12EA}" name="Tableau4255" displayName="Tableau4255" ref="M21:N24" totalsRowShown="0">
  <autoFilter ref="M21:N24" xr:uid="{5E545F54-5327-4CCB-B2B4-B69E8EAF12EA}"/>
  <tableColumns count="2">
    <tableColumn id="1" xr3:uid="{ECB63FB9-8414-4DE4-AE32-2A71DBCC9617}" name="15-févr"/>
    <tableColumn id="2" xr3:uid="{6F667D6B-1C9C-48C1-9A2A-9E059953C91D}" name="28-févr"/>
  </tableColumns>
  <tableStyleInfo name="TableStyleLight1"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DAFC983C-5278-46A7-AA23-654C04467F24}" name="Tableau3456" displayName="Tableau3456" ref="C3:E4" totalsRowShown="0" headerRowDxfId="59" headerRowCellStyle="Insatisfaisant" dataCellStyle="Insatisfaisant">
  <autoFilter ref="C3:E4" xr:uid="{DAFC983C-5278-46A7-AA23-654C04467F24}"/>
  <tableColumns count="3">
    <tableColumn id="1" xr3:uid="{174AA69B-AB33-44B2-A948-0727E28F4FA3}" name="10-janv" dataCellStyle="Insatisfaisant"/>
    <tableColumn id="2" xr3:uid="{34794CD4-3B8C-440D-9028-EC4FC321E8A9}" name="20-janv" dataCellStyle="Insatisfaisant"/>
    <tableColumn id="3" xr3:uid="{6829278A-394E-44E7-926D-40078D0D57E3}" name="31-janv" dataCellStyle="Insatisfaisant"/>
  </tableColumns>
  <tableStyleInfo name="TableStyleLight1"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C9BD406B-135F-4D76-97B0-6AE0AA137D4B}" name="Tableau3759" displayName="Tableau3759" ref="M3:N6" totalsRowShown="0" headerRowDxfId="58" headerRowCellStyle="Normal 2">
  <autoFilter ref="M3:N6" xr:uid="{C9BD406B-135F-4D76-97B0-6AE0AA137D4B}"/>
  <tableColumns count="2">
    <tableColumn id="1" xr3:uid="{3F90EED8-D40D-4B45-90B7-07A7243D504A}" name="15-janv"/>
    <tableColumn id="2" xr3:uid="{B45ECFC2-3254-4280-824C-5E016E59AD5A}" name="31-janv"/>
  </tableColumns>
  <tableStyleInfo name="TableStyleLight1"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2AADCD29-F733-44C1-8603-88DF80A52C99}" name="Tableau3557" displayName="Tableau3557" ref="G3:H5" totalsRowShown="0" headerRowDxfId="57" headerRowCellStyle="Normal 2" dataCellStyle="Insatisfaisant">
  <autoFilter ref="G3:H5" xr:uid="{2AADCD29-F733-44C1-8603-88DF80A52C99}"/>
  <tableColumns count="2">
    <tableColumn id="1" xr3:uid="{6C790CEA-0E4F-4A2F-878E-68E5D56F0E6E}" name="15-janv" dataCellStyle="Insatisfaisant"/>
    <tableColumn id="2" xr3:uid="{E7A7ED84-98C6-4AF7-9A97-DBEDB1FEC0EA}" name="31-janv" dataCellStyle="Insatisfaisant"/>
  </tableColumns>
  <tableStyleInfo name="TableStyleLight1"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C4194693-7F85-4703-8DCE-CE30C729435D}" name="Tableau3658" displayName="Tableau3658" ref="J3:K5" totalsRowShown="0" headerRowDxfId="56" headerRowCellStyle="Normal 2" dataCellStyle="Insatisfaisant">
  <autoFilter ref="J3:K5" xr:uid="{C4194693-7F85-4703-8DCE-CE30C729435D}"/>
  <tableColumns count="2">
    <tableColumn id="1" xr3:uid="{1CD697E3-8754-4D20-A343-F7455B320EEB}" name="15-janv" dataCellStyle="Insatisfaisant"/>
    <tableColumn id="2" xr3:uid="{3776ED80-39B5-4F9B-B0FA-A0E730BBC34D}" name="31-janv" dataCellStyle="Insatisfaisant"/>
  </tableColumns>
  <tableStyleInfo name="TableStyleLight1"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53C17D1F-2D30-49AF-B3F6-27D29489F7B5}" name="Tableau5" displayName="Tableau5" ref="AR20:AR25" totalsRowCount="1" headerRowDxfId="55" totalsRowCellStyle="Insatisfaisant">
  <autoFilter ref="AR20:AR24" xr:uid="{53C17D1F-2D30-49AF-B3F6-27D29489F7B5}"/>
  <tableColumns count="1">
    <tableColumn id="1" xr3:uid="{1617A7F2-1E8F-411A-B76A-F26F17DAE305}" name="16-oct" totalsRowFunction="custom" totalsRowCellStyle="Insatisfaisant">
      <totalsRowFormula>SUM(Tableau5[16-oct])</totalsRowFormula>
    </tableColumn>
  </tableColumns>
  <tableStyleInfo name="TableStyleLight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E77842F1-8855-49FF-9CDC-B2C516248305}" name="Tableau6" displayName="Tableau6" ref="AT20:AT23" totalsRowShown="0" headerRowDxfId="54">
  <autoFilter ref="AT20:AT23" xr:uid="{E77842F1-8855-49FF-9CDC-B2C516248305}"/>
  <tableColumns count="1">
    <tableColumn id="1" xr3:uid="{D472A13E-315F-43FB-A39E-31FD17B7BD90}" name="31-oct"/>
  </tableColumns>
  <tableStyleInfo name="TableStyleLight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737E3E91-598D-49A0-BC57-210C720785FC}" name="Tableau8" displayName="Tableau8" ref="AP20:AP21" totalsRowShown="0" headerRowDxfId="53" dataCellStyle="Insatisfaisant">
  <autoFilter ref="AP20:AP21" xr:uid="{737E3E91-598D-49A0-BC57-210C720785FC}"/>
  <tableColumns count="1">
    <tableColumn id="1" xr3:uid="{28C90A7A-3653-46A4-B38C-7FFB633E6B67}" name="16-oct" dataCellStyle="Insatisfaisant"/>
  </tableColumns>
  <tableStyleInfo name="TableStyleLight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BB4FB434-DC94-4EA8-917A-09DC18BDD8CF}" name="Tableau9" displayName="Tableau9" ref="AL20:AN22" totalsRowShown="0" headerRowDxfId="52">
  <autoFilter ref="AL20:AN22" xr:uid="{BB4FB434-DC94-4EA8-917A-09DC18BDD8CF}"/>
  <tableColumns count="3">
    <tableColumn id="1" xr3:uid="{0952824B-F985-4B55-84EB-60CB9AFAF1EC}" name="10-oct"/>
    <tableColumn id="2" xr3:uid="{18AF59B0-4972-488E-95FE-B0F02CA0FAAF}" name="20-oct"/>
    <tableColumn id="3" xr3:uid="{81DE48C8-0242-46C4-B140-0628A0092C2D}" name="30-oct"/>
  </tableColumns>
  <tableStyleInfo name="TableStyleLight1"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A7674A5A-6D94-4654-9523-7B82DC1EB316}" name="Tableau21" displayName="Tableau21" ref="AV20:AY23" totalsRowShown="0" headerRowDxfId="51">
  <autoFilter ref="AV20:AY23" xr:uid="{A7674A5A-6D94-4654-9523-7B82DC1EB316}"/>
  <tableColumns count="4">
    <tableColumn id="1" xr3:uid="{0876F697-5CF4-4E68-A4B8-75042090A98B}" name="08-oct"/>
    <tableColumn id="2" xr3:uid="{BFA24445-E41F-404F-888D-7AC7875F7574}" name="15-oct"/>
    <tableColumn id="3" xr3:uid="{2AD02AB1-4B03-489A-AA9C-383B51BCEF06}" name="23-oct"/>
    <tableColumn id="4" xr3:uid="{D4CD91FF-982B-4DA8-8F5C-6186862AD37F}" name="31-oct"/>
  </tableColumns>
  <tableStyleInfo name="TableStyleLight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245414B2-B770-4542-AA65-2AF14B05F7D3}" name="Tableau1667" displayName="Tableau1667" ref="BB53:BD78" totalsRowShown="0" headerRowDxfId="50">
  <autoFilter ref="BB53:BD78" xr:uid="{245414B2-B770-4542-AA65-2AF14B05F7D3}"/>
  <tableColumns count="3">
    <tableColumn id="1" xr3:uid="{FDD60B86-CC45-4785-B7FF-54928B3C5B1C}" name="04-déc"/>
    <tableColumn id="2" xr3:uid="{1FB8E823-BCD1-4DC7-A17A-C1D60A69B98E}" name="19-déc"/>
    <tableColumn id="3" xr3:uid="{B7DEEDC4-E66F-438C-9A39-646DCB9012A5}" name="30-déc"/>
  </tableColumns>
  <tableStyleInfo name="TableStyleLight1"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A4A02304-C726-4D9A-8709-8AFD1B460F3C}" name="Tableau1768" displayName="Tableau1768" ref="AN53:AP54" totalsRowShown="0" headerRowDxfId="49" dataCellStyle="Insatisfaisant">
  <autoFilter ref="AN53:AP54" xr:uid="{A4A02304-C726-4D9A-8709-8AFD1B460F3C}"/>
  <tableColumns count="3">
    <tableColumn id="1" xr3:uid="{0F3BED4B-9C2C-4814-B14B-07EB41DCE236}" name="10-déc" dataCellStyle="Insatisfaisant"/>
    <tableColumn id="2" xr3:uid="{384122EF-4D99-4EB2-8753-632FBD6C54D7}" name="20-déc" dataCellStyle="Insatisfaisant"/>
    <tableColumn id="3" xr3:uid="{86D8A4BB-3021-49E0-9C8D-92E3A328C7B7}" name="30-déc" dataCellStyle="Insatisfaisant"/>
  </tableColumns>
  <tableStyleInfo name="TableStyleLight1"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5BFFB891-B11B-45C1-8132-9CC4C456F95C}" name="Tableau1869" displayName="Tableau1869" ref="AW53:AW57" totalsRowShown="0" headerRowDxfId="48">
  <autoFilter ref="AW53:AW57" xr:uid="{5BFFB891-B11B-45C1-8132-9CC4C456F95C}"/>
  <tableColumns count="1">
    <tableColumn id="1" xr3:uid="{2D0C9289-A07B-4A39-B04E-E08B095CF724}" name="01-déc"/>
  </tableColumns>
  <tableStyleInfo name="TableStyleLight1"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DDA61293-09B0-4BF1-A059-AA2468ADA792}" name="Tableau1970" displayName="Tableau1970" ref="AY53:AY55" totalsRowShown="0" headerRowDxfId="47" headerRowCellStyle="Neutre" dataCellStyle="Neutre">
  <autoFilter ref="AY53:AY55" xr:uid="{DDA61293-09B0-4BF1-A059-AA2468ADA792}"/>
  <tableColumns count="1">
    <tableColumn id="1" xr3:uid="{557370A8-18ED-488D-85F2-A2861B16E799}" name="15-déc"/>
  </tableColumns>
  <tableStyleInfo name="TableStyleLight1"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400665E4-8EB8-4472-98D6-0C0E0F81B897}" name="Tableau2071" displayName="Tableau2071" ref="AZ53:AZ54" totalsRowShown="0" headerRowDxfId="46" dataCellStyle="Insatisfaisant">
  <autoFilter ref="AZ53:AZ54" xr:uid="{400665E4-8EB8-4472-98D6-0C0E0F81B897}"/>
  <tableColumns count="1">
    <tableColumn id="1" xr3:uid="{6AD3EDD2-AE47-4816-9B93-D0E5FADE8192}" name="31-déc" dataCellStyle="Insatisfaisant"/>
  </tableColumns>
  <tableStyleInfo name="TableStyleLight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EE45BB44-9A4A-4AA7-8EFD-AA732F2257DC}" name="Tableau2372" displayName="Tableau2372" ref="AR54:AU56" totalsRowShown="0" headerRowDxfId="45">
  <autoFilter ref="AR54:AU56" xr:uid="{EE45BB44-9A4A-4AA7-8EFD-AA732F2257DC}"/>
  <tableColumns count="4">
    <tableColumn id="1" xr3:uid="{0E162400-DA52-42AC-8189-C0B53DE159A4}" name="08-déc"/>
    <tableColumn id="2" xr3:uid="{4650A0FC-AA65-453B-92B7-63C33A14C920}" name="15-déc"/>
    <tableColumn id="3" xr3:uid="{593BE8DF-D03C-417F-8D3F-F2DD21DC332A}" name="23-déc"/>
    <tableColumn id="4" xr3:uid="{C4FE5E3C-5505-43ED-9D5D-7CCE0EDDB965}" name="31-déc"/>
  </tableColumns>
  <tableStyleInfo name="TableStyleLight1"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D284E939-EF9F-4101-A1C5-B990109416C5}" name="Tableau11" displayName="Tableau11" ref="AZ37:AZ41" totalsRowCount="1" headerRowDxfId="44" totalsRowCellStyle="Insatisfaisant">
  <autoFilter ref="AZ37:AZ40" xr:uid="{D284E939-EF9F-4101-A1C5-B990109416C5}"/>
  <tableColumns count="1">
    <tableColumn id="1" xr3:uid="{BB1ECAE6-4D56-467B-9F47-06334E99D905}" name="08-nov" totalsRowFunction="custom" totalsRowCellStyle="Insatisfaisant">
      <totalsRowFormula>SUM(Tableau11[08-nov])</totalsRowFormula>
    </tableColumn>
  </tableColumns>
  <tableStyleInfo name="TableStyleLight1"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29494CDE-6381-48D1-A945-59F273697178}" name="Tableau12" displayName="Tableau12" ref="BA37:BB38" totalsRowShown="0" headerRowDxfId="43">
  <autoFilter ref="BA37:BB38" xr:uid="{29494CDE-6381-48D1-A945-59F273697178}"/>
  <tableColumns count="2">
    <tableColumn id="1" xr3:uid="{9D2E0417-BE5E-43CC-BEFB-FCEC2A6DC787}" name="15-nov"/>
    <tableColumn id="2" xr3:uid="{28EE33B9-8556-43DF-8875-034C4B823DA5}" name="30-nov"/>
  </tableColumns>
  <tableStyleInfo name="TableStyleLight1"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FA82452-85ED-4D6D-8627-48F3FBE7C15E}" name="Tableau13" displayName="Tableau13" ref="AW37:AX42" totalsRowCount="1" headerRowDxfId="42" totalsRowCellStyle="Insatisfaisant">
  <autoFilter ref="AW37:AX41" xr:uid="{6FA82452-85ED-4D6D-8627-48F3FBE7C15E}"/>
  <tableColumns count="2">
    <tableColumn id="1" xr3:uid="{D8BEA9D7-2AED-42D3-A50A-8CAA96FB2F64}" name="02-nov" totalsRowFunction="custom" totalsRowCellStyle="Insatisfaisant">
      <totalsRowFormula>SUM(Tableau13[02-nov])</totalsRowFormula>
    </tableColumn>
    <tableColumn id="2" xr3:uid="{B62BD9A1-C504-468B-86FF-1134FD4FC9D0}" name="16-nov" totalsRowFunction="custom" totalsRowCellStyle="Insatisfaisant">
      <totalsRowFormula>SUM(Tableau13[16-nov])</totalsRowFormula>
    </tableColumn>
  </tableColumns>
  <tableStyleInfo name="TableStyleLight1"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20ABAB39-11A5-4BDF-97BE-877F4A7E8E23}" name="Tableau14" displayName="Tableau14" ref="AN37:AP38" totalsRowShown="0" headerRowDxfId="41" dataCellStyle="Insatisfaisant">
  <autoFilter ref="AN37:AP38" xr:uid="{20ABAB39-11A5-4BDF-97BE-877F4A7E8E23}"/>
  <tableColumns count="3">
    <tableColumn id="1" xr3:uid="{58084C80-9ED4-43F8-A37D-A31F72FDDA88}" name="10-nov" dataCellStyle="Insatisfaisant"/>
    <tableColumn id="2" xr3:uid="{5DD4BC84-CB9E-406B-A749-3BFC77356216}" name="20-nov" dataCellStyle="Insatisfaisant"/>
    <tableColumn id="3" xr3:uid="{B2D993BF-4D77-410C-9858-F4EB83AD8F4E}" name="30-nov" dataCellStyle="Insatisfaisant"/>
  </tableColumns>
  <tableStyleInfo name="TableStyleLight1"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7D2FF9A9-E918-455F-81DD-773CFF16E935}" name="Tableau15" displayName="Tableau15" ref="BD37:BE48" totalsRowShown="0" headerRowDxfId="40">
  <autoFilter ref="BD37:BE48" xr:uid="{7D2FF9A9-E918-455F-81DD-773CFF16E935}"/>
  <tableColumns count="2">
    <tableColumn id="1" xr3:uid="{69BE40AC-30FC-40C9-A384-28B5F5215A99}" name="02-nov"/>
    <tableColumn id="2" xr3:uid="{786CCD89-C7E8-4FB1-ABC6-CC39408F9FDD}" name="16-nov"/>
  </tableColumns>
  <tableStyleInfo name="TableStyleLight1"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5DF55105-C4BD-4B0D-A62A-64AAD97D49AB}" name="Tableau22" displayName="Tableau22" ref="AR37:AU39" totalsRowShown="0" headerRowDxfId="39">
  <autoFilter ref="AR37:AU39" xr:uid="{5DF55105-C4BD-4B0D-A62A-64AAD97D49AB}"/>
  <tableColumns count="4">
    <tableColumn id="1" xr3:uid="{29CDDE86-57E5-45E4-8C53-CE9C43259505}" name="08-nov">
      <calculatedColumnFormula>477.75+35.55</calculatedColumnFormula>
    </tableColumn>
    <tableColumn id="2" xr3:uid="{BF0F4751-C1D0-4CE9-AF4A-2839D43887BF}" name="15-nov"/>
    <tableColumn id="3" xr3:uid="{B944F3FC-91A9-4A34-B896-8C66A9F3CD1E}" name="23-nov"/>
    <tableColumn id="4" xr3:uid="{66AA8C51-2566-4499-92E3-C14C048DC0B4}" name="30-nov"/>
  </tableColumns>
  <tableStyleInfo name="TableStyleLight1"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6F26C409-D552-4FCB-A2E7-CC4192202A87}" name="Tableau11053" displayName="Tableau11053" ref="D11:E14" totalsRowShown="0" dataDxfId="38">
  <autoFilter ref="D11:E14" xr:uid="{6F26C409-D552-4FCB-A2E7-CC4192202A87}"/>
  <tableColumns count="2">
    <tableColumn id="1" xr3:uid="{4764DEC4-B78A-4AFB-827D-120C6761A78A}" name="Entités" dataDxfId="37"/>
    <tableColumn id="2" xr3:uid="{8E72D395-525E-4ECE-B79B-54071D89EC66}" name="KM" dataDxfId="36"/>
  </tableColumns>
  <tableStyleInfo name="TableStyleLight8"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EAA8CDEB-5E16-483A-A36D-CF9AFEC03906}" name="Tableau11154" displayName="Tableau11154" ref="F11:G14" totalsRowShown="0" headerRowDxfId="35" dataDxfId="34">
  <autoFilter ref="F11:G14" xr:uid="{EAA8CDEB-5E16-483A-A36D-CF9AFEC03906}"/>
  <tableColumns count="2">
    <tableColumn id="1" xr3:uid="{1C13A6F7-7E70-40AC-8EE5-88E22EB97C07}" name="Entités" dataDxfId="33"/>
    <tableColumn id="2" xr3:uid="{D5C06557-CBCE-494F-A10F-8FEFC0B70A57}" name="KM" dataDxfId="32"/>
  </tableColumns>
  <tableStyleInfo name="TableStyleLight8"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4177256D-4E20-420D-A410-62760ECB3D5B}" name="Tableau22755" displayName="Tableau22755" ref="H11:I14" totalsRowShown="0" headerRowDxfId="31" dataDxfId="30">
  <autoFilter ref="H11:I14" xr:uid="{4177256D-4E20-420D-A410-62760ECB3D5B}"/>
  <tableColumns count="2">
    <tableColumn id="1" xr3:uid="{9B2F9BD7-4181-421C-BBDC-89AB2DF86FE9}" name="Entités" dataDxfId="29"/>
    <tableColumn id="2" xr3:uid="{1D3EAA9C-F903-436B-8593-5B4F61767659}" name="KM" dataDxfId="28"/>
  </tableColumns>
  <tableStyleInfo name="TableStyleLight8"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62AD668F-E42D-44AC-81F9-9C6B22039696}" name="Tableau2275556" displayName="Tableau2275556" ref="J11:K14" totalsRowShown="0" headerRowDxfId="27" dataDxfId="26">
  <autoFilter ref="J11:K14" xr:uid="{62AD668F-E42D-44AC-81F9-9C6B22039696}"/>
  <tableColumns count="2">
    <tableColumn id="1" xr3:uid="{22417A4E-9960-45F3-9C20-4FF08D24E929}" name="Entités" dataDxfId="25"/>
    <tableColumn id="2" xr3:uid="{16303EDD-7BDE-4185-AD20-9D057AB2711D}" name="KM" dataDxfId="24"/>
  </tableColumns>
  <tableStyleInfo name="TableStyleLight8"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71702D93-96A6-4E56-A963-C4704DA46D97}" name="Tableau2275557" displayName="Tableau2275557" ref="L11:M14" totalsRowShown="0" headerRowDxfId="23" dataDxfId="22">
  <autoFilter ref="L11:M14" xr:uid="{71702D93-96A6-4E56-A963-C4704DA46D97}"/>
  <tableColumns count="2">
    <tableColumn id="1" xr3:uid="{F91104BC-7066-446A-9FD8-496C4792EA11}" name="Entités" dataDxfId="21"/>
    <tableColumn id="2" xr3:uid="{9835F4F2-716F-4DBB-ACC2-7C5749C2D104}" name="KM" dataDxfId="20"/>
  </tableColumns>
  <tableStyleInfo name="TableStyleLight8"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C6F674CD-BC49-4046-AF25-44596E539636}" name="Tableau2275558" displayName="Tableau2275558" ref="N11:O14" totalsRowShown="0" headerRowDxfId="19" dataDxfId="18">
  <autoFilter ref="N11:O14" xr:uid="{C6F674CD-BC49-4046-AF25-44596E539636}"/>
  <tableColumns count="2">
    <tableColumn id="1" xr3:uid="{5D0C2BBC-F433-4237-8C12-DF1CDBF4BB8D}" name="Entités" dataDxfId="17"/>
    <tableColumn id="2" xr3:uid="{C0554365-F8F4-400F-8845-DE083885E71F}" name="KM" dataDxfId="16"/>
  </tableColumns>
  <tableStyleInfo name="TableStyleLight8"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477B4D00-5889-42F6-A2CA-1F8F5D544E09}" name="Tableau2275559" displayName="Tableau2275559" ref="P11:Q14" totalsRowShown="0" headerRowDxfId="15" dataDxfId="14">
  <autoFilter ref="P11:Q14" xr:uid="{477B4D00-5889-42F6-A2CA-1F8F5D544E09}"/>
  <tableColumns count="2">
    <tableColumn id="1" xr3:uid="{B8F216A4-2B02-4BFE-ABCD-1CB0F1C16399}" name="Entités" dataDxfId="13"/>
    <tableColumn id="2" xr3:uid="{A9E854E3-A6F7-45C9-B71B-E25443C98DDB}" name="KM" dataDxfId="12"/>
  </tableColumns>
  <tableStyleInfo name="TableStyleLight8"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DD8FC7FB-9515-489E-86A4-8939AE3844C9}" name="Tableau2275560" displayName="Tableau2275560" ref="R11:S14" totalsRowShown="0" headerRowDxfId="11" dataDxfId="10">
  <autoFilter ref="R11:S14" xr:uid="{DD8FC7FB-9515-489E-86A4-8939AE3844C9}"/>
  <tableColumns count="2">
    <tableColumn id="1" xr3:uid="{129FDBF2-DB9B-417C-8533-F532B091CDE7}" name="Entités" dataDxfId="9"/>
    <tableColumn id="2" xr3:uid="{ADDE3BF8-327D-488A-82DE-76D85EA4FD71}" name="KM" dataDxfId="8"/>
  </tableColumns>
  <tableStyleInfo name="TableStyleLight8"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A204E8E6-D742-4301-8360-69D91EBE30E5}" name="Tableau2272910361" displayName="Tableau2272910361" ref="T11:U14" totalsRowShown="0" headerRowDxfId="7" dataDxfId="6">
  <autoFilter ref="T11:U14" xr:uid="{A204E8E6-D742-4301-8360-69D91EBE30E5}"/>
  <tableColumns count="2">
    <tableColumn id="1" xr3:uid="{25E7BE5F-560E-4A20-A261-3331F6FBC659}" name="Entités" dataDxfId="5"/>
    <tableColumn id="2" xr3:uid="{07705069-78D4-4B41-9D1C-A242B6D1C147}" name="KM" dataDxfId="4"/>
  </tableColumns>
  <tableStyleInfo name="TableStyleLight8"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8" Type="http://schemas.openxmlformats.org/officeDocument/2006/relationships/table" Target="../tables/table11.xml"/><Relationship Id="rId13" Type="http://schemas.openxmlformats.org/officeDocument/2006/relationships/table" Target="../tables/table16.xml"/><Relationship Id="rId18" Type="http://schemas.openxmlformats.org/officeDocument/2006/relationships/table" Target="../tables/table21.xml"/><Relationship Id="rId3" Type="http://schemas.openxmlformats.org/officeDocument/2006/relationships/table" Target="../tables/table6.xml"/><Relationship Id="rId7" Type="http://schemas.openxmlformats.org/officeDocument/2006/relationships/table" Target="../tables/table10.xml"/><Relationship Id="rId12" Type="http://schemas.openxmlformats.org/officeDocument/2006/relationships/table" Target="../tables/table15.xml"/><Relationship Id="rId17" Type="http://schemas.openxmlformats.org/officeDocument/2006/relationships/table" Target="../tables/table20.xml"/><Relationship Id="rId2" Type="http://schemas.openxmlformats.org/officeDocument/2006/relationships/table" Target="../tables/table5.xml"/><Relationship Id="rId16" Type="http://schemas.openxmlformats.org/officeDocument/2006/relationships/table" Target="../tables/table19.xml"/><Relationship Id="rId1" Type="http://schemas.openxmlformats.org/officeDocument/2006/relationships/drawing" Target="../drawings/drawing2.xml"/><Relationship Id="rId6" Type="http://schemas.openxmlformats.org/officeDocument/2006/relationships/table" Target="../tables/table9.xml"/><Relationship Id="rId11" Type="http://schemas.openxmlformats.org/officeDocument/2006/relationships/table" Target="../tables/table14.xml"/><Relationship Id="rId5" Type="http://schemas.openxmlformats.org/officeDocument/2006/relationships/table" Target="../tables/table8.xml"/><Relationship Id="rId15" Type="http://schemas.openxmlformats.org/officeDocument/2006/relationships/table" Target="../tables/table18.xml"/><Relationship Id="rId10" Type="http://schemas.openxmlformats.org/officeDocument/2006/relationships/table" Target="../tables/table13.xml"/><Relationship Id="rId4" Type="http://schemas.openxmlformats.org/officeDocument/2006/relationships/table" Target="../tables/table7.xml"/><Relationship Id="rId9" Type="http://schemas.openxmlformats.org/officeDocument/2006/relationships/table" Target="../tables/table12.xml"/><Relationship Id="rId14" Type="http://schemas.openxmlformats.org/officeDocument/2006/relationships/table" Target="../tables/table17.xml"/></Relationships>
</file>

<file path=xl/worksheets/_rels/sheet3.xml.rels><?xml version="1.0" encoding="UTF-8" standalone="yes"?>
<Relationships xmlns="http://schemas.openxmlformats.org/package/2006/relationships"><Relationship Id="rId8" Type="http://schemas.openxmlformats.org/officeDocument/2006/relationships/table" Target="../tables/table26.xml"/><Relationship Id="rId13" Type="http://schemas.openxmlformats.org/officeDocument/2006/relationships/table" Target="../tables/table31.xml"/><Relationship Id="rId18" Type="http://schemas.openxmlformats.org/officeDocument/2006/relationships/table" Target="../tables/table36.xml"/><Relationship Id="rId26" Type="http://schemas.openxmlformats.org/officeDocument/2006/relationships/table" Target="../tables/table44.xml"/><Relationship Id="rId3" Type="http://schemas.openxmlformats.org/officeDocument/2006/relationships/ctrlProp" Target="../ctrlProps/ctrlProp1.xml"/><Relationship Id="rId21" Type="http://schemas.openxmlformats.org/officeDocument/2006/relationships/table" Target="../tables/table39.xml"/><Relationship Id="rId7" Type="http://schemas.openxmlformats.org/officeDocument/2006/relationships/table" Target="../tables/table25.xml"/><Relationship Id="rId12" Type="http://schemas.openxmlformats.org/officeDocument/2006/relationships/table" Target="../tables/table30.xml"/><Relationship Id="rId17" Type="http://schemas.openxmlformats.org/officeDocument/2006/relationships/table" Target="../tables/table35.xml"/><Relationship Id="rId25" Type="http://schemas.openxmlformats.org/officeDocument/2006/relationships/table" Target="../tables/table43.xml"/><Relationship Id="rId2" Type="http://schemas.openxmlformats.org/officeDocument/2006/relationships/vmlDrawing" Target="../drawings/vmlDrawing1.vml"/><Relationship Id="rId16" Type="http://schemas.openxmlformats.org/officeDocument/2006/relationships/table" Target="../tables/table34.xml"/><Relationship Id="rId20" Type="http://schemas.openxmlformats.org/officeDocument/2006/relationships/table" Target="../tables/table38.xml"/><Relationship Id="rId1" Type="http://schemas.openxmlformats.org/officeDocument/2006/relationships/drawing" Target="../drawings/drawing3.xml"/><Relationship Id="rId6" Type="http://schemas.openxmlformats.org/officeDocument/2006/relationships/table" Target="../tables/table24.xml"/><Relationship Id="rId11" Type="http://schemas.openxmlformats.org/officeDocument/2006/relationships/table" Target="../tables/table29.xml"/><Relationship Id="rId24" Type="http://schemas.openxmlformats.org/officeDocument/2006/relationships/table" Target="../tables/table42.xml"/><Relationship Id="rId5" Type="http://schemas.openxmlformats.org/officeDocument/2006/relationships/table" Target="../tables/table23.xml"/><Relationship Id="rId15" Type="http://schemas.openxmlformats.org/officeDocument/2006/relationships/table" Target="../tables/table33.xml"/><Relationship Id="rId23" Type="http://schemas.openxmlformats.org/officeDocument/2006/relationships/table" Target="../tables/table41.xml"/><Relationship Id="rId28" Type="http://schemas.openxmlformats.org/officeDocument/2006/relationships/table" Target="../tables/table46.xml"/><Relationship Id="rId10" Type="http://schemas.openxmlformats.org/officeDocument/2006/relationships/table" Target="../tables/table28.xml"/><Relationship Id="rId19" Type="http://schemas.openxmlformats.org/officeDocument/2006/relationships/table" Target="../tables/table37.xml"/><Relationship Id="rId4" Type="http://schemas.openxmlformats.org/officeDocument/2006/relationships/table" Target="../tables/table22.xml"/><Relationship Id="rId9" Type="http://schemas.openxmlformats.org/officeDocument/2006/relationships/table" Target="../tables/table27.xml"/><Relationship Id="rId14" Type="http://schemas.openxmlformats.org/officeDocument/2006/relationships/table" Target="../tables/table32.xml"/><Relationship Id="rId22" Type="http://schemas.openxmlformats.org/officeDocument/2006/relationships/table" Target="../tables/table40.xml"/><Relationship Id="rId27" Type="http://schemas.openxmlformats.org/officeDocument/2006/relationships/table" Target="../tables/table45.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8" Type="http://schemas.openxmlformats.org/officeDocument/2006/relationships/table" Target="../tables/table54.xml"/><Relationship Id="rId3" Type="http://schemas.openxmlformats.org/officeDocument/2006/relationships/table" Target="../tables/table49.xml"/><Relationship Id="rId7" Type="http://schemas.openxmlformats.org/officeDocument/2006/relationships/table" Target="../tables/table53.xml"/><Relationship Id="rId2" Type="http://schemas.openxmlformats.org/officeDocument/2006/relationships/table" Target="../tables/table48.xml"/><Relationship Id="rId1" Type="http://schemas.openxmlformats.org/officeDocument/2006/relationships/table" Target="../tables/table47.xml"/><Relationship Id="rId6" Type="http://schemas.openxmlformats.org/officeDocument/2006/relationships/table" Target="../tables/table52.xml"/><Relationship Id="rId5" Type="http://schemas.openxmlformats.org/officeDocument/2006/relationships/table" Target="../tables/table51.xml"/><Relationship Id="rId4" Type="http://schemas.openxmlformats.org/officeDocument/2006/relationships/table" Target="../tables/table50.xml"/><Relationship Id="rId9" Type="http://schemas.openxmlformats.org/officeDocument/2006/relationships/table" Target="../tables/table5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5E998-7DC9-4455-AFBF-0CF191892191}">
  <sheetPr codeName="Feuil1"/>
  <dimension ref="A1:W49"/>
  <sheetViews>
    <sheetView topLeftCell="I1" zoomScale="75" workbookViewId="0">
      <selection activeCell="E8" sqref="E8"/>
    </sheetView>
  </sheetViews>
  <sheetFormatPr baseColWidth="10" defaultRowHeight="14.4" x14ac:dyDescent="0.3"/>
  <cols>
    <col min="2" max="2" width="62.44140625" customWidth="1"/>
    <col min="3" max="3" width="14.44140625" bestFit="1" customWidth="1"/>
    <col min="4" max="4" width="15.77734375" bestFit="1" customWidth="1"/>
    <col min="5" max="5" width="12.77734375" bestFit="1" customWidth="1"/>
    <col min="6" max="6" width="26.88671875" customWidth="1"/>
    <col min="7" max="7" width="15.33203125" bestFit="1" customWidth="1"/>
    <col min="9" max="9" width="42.33203125" bestFit="1" customWidth="1"/>
    <col min="10" max="10" width="31.21875" bestFit="1" customWidth="1"/>
    <col min="11" max="11" width="15.77734375" bestFit="1" customWidth="1"/>
    <col min="14" max="14" width="47.5546875" bestFit="1" customWidth="1"/>
    <col min="15" max="15" width="31.21875" bestFit="1" customWidth="1"/>
    <col min="16" max="16" width="15.77734375" bestFit="1" customWidth="1"/>
  </cols>
  <sheetData>
    <row r="1" spans="1:23" x14ac:dyDescent="0.3">
      <c r="A1" s="2"/>
      <c r="H1" s="2"/>
      <c r="L1" s="29"/>
      <c r="M1" s="2"/>
      <c r="V1" s="2"/>
      <c r="W1" s="30"/>
    </row>
    <row r="2" spans="1:23" x14ac:dyDescent="0.3">
      <c r="A2" s="2"/>
      <c r="H2" s="2"/>
      <c r="L2" s="29"/>
      <c r="M2" s="2"/>
      <c r="V2" s="2"/>
      <c r="W2" s="30"/>
    </row>
    <row r="3" spans="1:23" ht="15.6" x14ac:dyDescent="0.3">
      <c r="A3" s="2"/>
      <c r="H3" s="2"/>
      <c r="I3" s="31" t="s">
        <v>64</v>
      </c>
      <c r="L3" s="29"/>
      <c r="M3" s="2"/>
      <c r="V3" s="2"/>
      <c r="W3" s="30"/>
    </row>
    <row r="4" spans="1:23" ht="15.6" x14ac:dyDescent="0.3">
      <c r="A4" s="2"/>
      <c r="H4" s="2"/>
      <c r="L4" s="29"/>
      <c r="M4" s="2"/>
      <c r="N4" s="31" t="s">
        <v>65</v>
      </c>
      <c r="V4" s="2"/>
      <c r="W4" s="30"/>
    </row>
    <row r="5" spans="1:23" ht="18" x14ac:dyDescent="0.35">
      <c r="A5" s="2"/>
      <c r="B5" s="11" t="s">
        <v>66</v>
      </c>
      <c r="H5" s="2"/>
      <c r="L5" s="29"/>
      <c r="M5" s="2"/>
      <c r="V5" s="2"/>
      <c r="W5" s="30"/>
    </row>
    <row r="6" spans="1:23" x14ac:dyDescent="0.3">
      <c r="A6" s="2"/>
      <c r="B6" s="32" t="s">
        <v>67</v>
      </c>
      <c r="C6" s="33" t="s">
        <v>68</v>
      </c>
      <c r="D6" s="33" t="s">
        <v>69</v>
      </c>
      <c r="E6" s="33" t="s">
        <v>70</v>
      </c>
      <c r="F6" s="33" t="s">
        <v>71</v>
      </c>
      <c r="G6" s="34" t="s">
        <v>72</v>
      </c>
      <c r="H6" s="2"/>
      <c r="L6" s="29"/>
      <c r="M6" s="2"/>
      <c r="V6" s="2"/>
      <c r="W6" s="30"/>
    </row>
    <row r="7" spans="1:23" x14ac:dyDescent="0.3">
      <c r="A7" s="2"/>
      <c r="B7" s="35" t="s">
        <v>73</v>
      </c>
      <c r="C7" s="35" t="s">
        <v>74</v>
      </c>
      <c r="D7" s="12">
        <f>K16</f>
        <v>4738596.8640000001</v>
      </c>
      <c r="E7" s="36">
        <f>K17</f>
        <v>13000000</v>
      </c>
      <c r="F7">
        <f>D7/E7</f>
        <v>0.36450745107692306</v>
      </c>
      <c r="G7" s="35" t="s">
        <v>75</v>
      </c>
      <c r="H7" s="2"/>
      <c r="J7" s="35" t="s">
        <v>76</v>
      </c>
      <c r="K7" s="35" t="s">
        <v>69</v>
      </c>
      <c r="L7" s="29"/>
      <c r="M7" s="2"/>
      <c r="V7" s="2"/>
      <c r="W7" s="30"/>
    </row>
    <row r="8" spans="1:23" x14ac:dyDescent="0.3">
      <c r="A8" s="2"/>
      <c r="B8" s="35" t="s">
        <v>77</v>
      </c>
      <c r="C8" s="35" t="s">
        <v>74</v>
      </c>
      <c r="D8" s="12">
        <f>P18</f>
        <v>3873278.6240000003</v>
      </c>
      <c r="E8" s="12">
        <v>10555261</v>
      </c>
      <c r="F8">
        <f>D8/E8</f>
        <v>0.36695242533557437</v>
      </c>
      <c r="G8" s="35" t="s">
        <v>75</v>
      </c>
      <c r="H8" s="2"/>
      <c r="J8" s="35" t="s">
        <v>78</v>
      </c>
      <c r="K8" s="37">
        <f>'[1]Parc Global 2023-2024'!AC68</f>
        <v>4387963.3836714001</v>
      </c>
      <c r="L8" s="29"/>
      <c r="M8" s="2"/>
      <c r="O8" s="35" t="s">
        <v>76</v>
      </c>
      <c r="P8" s="35" t="s">
        <v>69</v>
      </c>
      <c r="V8" s="2"/>
      <c r="W8" s="30"/>
    </row>
    <row r="9" spans="1:23" ht="18" x14ac:dyDescent="0.35">
      <c r="A9" s="2"/>
      <c r="B9" s="11" t="s">
        <v>79</v>
      </c>
      <c r="H9" s="2"/>
      <c r="J9" s="35" t="s">
        <v>80</v>
      </c>
      <c r="K9" s="12">
        <f>'[1]Parc Global 2023-2024'!AC64</f>
        <v>220321.6283286</v>
      </c>
      <c r="L9" s="29"/>
      <c r="M9" s="2"/>
      <c r="O9" s="35" t="s">
        <v>81</v>
      </c>
      <c r="P9">
        <v>3745969.31</v>
      </c>
      <c r="V9" s="2"/>
      <c r="W9" s="30"/>
    </row>
    <row r="10" spans="1:23" x14ac:dyDescent="0.3">
      <c r="A10" s="2"/>
      <c r="C10" s="35"/>
      <c r="H10" s="2"/>
      <c r="J10" s="35" t="s">
        <v>82</v>
      </c>
      <c r="K10" s="12">
        <v>4516.2520000000004</v>
      </c>
      <c r="L10" s="29"/>
      <c r="M10" s="2"/>
      <c r="O10" s="35" t="s">
        <v>83</v>
      </c>
      <c r="P10" s="12">
        <v>1513.7139999999999</v>
      </c>
      <c r="V10" s="2"/>
      <c r="W10" s="30"/>
    </row>
    <row r="11" spans="1:23" x14ac:dyDescent="0.3">
      <c r="A11" s="2"/>
      <c r="B11" s="35" t="s">
        <v>67</v>
      </c>
      <c r="C11" s="35" t="s">
        <v>68</v>
      </c>
      <c r="D11" s="35" t="s">
        <v>69</v>
      </c>
      <c r="E11" s="35" t="s">
        <v>70</v>
      </c>
      <c r="F11" s="35" t="s">
        <v>71</v>
      </c>
      <c r="G11" s="35" t="s">
        <v>72</v>
      </c>
      <c r="H11" s="2"/>
      <c r="J11" s="35" t="s">
        <v>84</v>
      </c>
      <c r="K11" s="12">
        <f>40016.61+1833.65+24009.96</f>
        <v>65860.22</v>
      </c>
      <c r="L11" s="29"/>
      <c r="M11" s="2"/>
      <c r="O11" s="35" t="s">
        <v>85</v>
      </c>
      <c r="P11" s="12">
        <f>40016.61+1833.65+24009.96</f>
        <v>65860.22</v>
      </c>
      <c r="V11" s="2"/>
      <c r="W11" s="30"/>
    </row>
    <row r="12" spans="1:23" x14ac:dyDescent="0.3">
      <c r="A12" s="2"/>
      <c r="B12" s="35" t="s">
        <v>86</v>
      </c>
      <c r="C12" s="35" t="s">
        <v>74</v>
      </c>
      <c r="D12" s="36">
        <v>5053000</v>
      </c>
      <c r="E12" s="36">
        <f>2646900+9040500</f>
        <v>11687400</v>
      </c>
      <c r="F12">
        <f>D12/E12</f>
        <v>0.43234594520594827</v>
      </c>
      <c r="G12" s="35" t="s">
        <v>87</v>
      </c>
      <c r="H12" s="2"/>
      <c r="J12" s="35" t="s">
        <v>88</v>
      </c>
      <c r="K12" s="12">
        <v>59935.38</v>
      </c>
      <c r="L12" s="29"/>
      <c r="M12" s="2"/>
      <c r="O12" s="35" t="s">
        <v>88</v>
      </c>
      <c r="P12">
        <v>59935.38</v>
      </c>
      <c r="V12" s="2"/>
      <c r="W12" s="30"/>
    </row>
    <row r="13" spans="1:23" x14ac:dyDescent="0.3">
      <c r="A13" s="2"/>
      <c r="B13" s="35" t="s">
        <v>89</v>
      </c>
      <c r="C13" s="35" t="s">
        <v>90</v>
      </c>
      <c r="D13" s="36">
        <v>6288000</v>
      </c>
      <c r="E13" s="36">
        <v>12750000</v>
      </c>
      <c r="F13">
        <f t="shared" ref="F13:F14" si="0">D13/E13</f>
        <v>0.49317647058823527</v>
      </c>
      <c r="G13" s="35" t="s">
        <v>91</v>
      </c>
      <c r="H13" s="2"/>
      <c r="L13" s="29"/>
      <c r="M13" s="2"/>
      <c r="O13" s="35"/>
      <c r="V13" s="2"/>
      <c r="W13" s="30"/>
    </row>
    <row r="14" spans="1:23" x14ac:dyDescent="0.3">
      <c r="A14" s="2"/>
      <c r="B14" s="35" t="s">
        <v>92</v>
      </c>
      <c r="C14" s="35" t="s">
        <v>93</v>
      </c>
      <c r="D14" s="36">
        <v>5081000</v>
      </c>
      <c r="E14" s="36">
        <v>14342800</v>
      </c>
      <c r="F14">
        <f t="shared" si="0"/>
        <v>0.35425439941991799</v>
      </c>
      <c r="G14" s="35" t="s">
        <v>94</v>
      </c>
      <c r="H14" s="2"/>
      <c r="L14" s="29"/>
      <c r="M14" s="2"/>
      <c r="O14" s="35"/>
      <c r="V14" s="2"/>
      <c r="W14" s="30"/>
    </row>
    <row r="15" spans="1:23" x14ac:dyDescent="0.3">
      <c r="A15" s="2"/>
      <c r="D15" s="36"/>
      <c r="E15" s="36"/>
      <c r="H15" s="2"/>
      <c r="L15" s="29"/>
      <c r="M15" s="2"/>
      <c r="O15" s="35"/>
      <c r="V15" s="2"/>
      <c r="W15" s="30"/>
    </row>
    <row r="16" spans="1:23" x14ac:dyDescent="0.3">
      <c r="A16" s="2"/>
      <c r="D16" s="36"/>
      <c r="E16" s="36"/>
      <c r="H16" s="2"/>
      <c r="J16" s="38" t="s">
        <v>4</v>
      </c>
      <c r="K16" s="39">
        <f>SUM(K8:K15)</f>
        <v>4738596.8640000001</v>
      </c>
      <c r="L16" s="29"/>
      <c r="M16" s="2"/>
      <c r="O16" s="35"/>
      <c r="V16" s="2"/>
      <c r="W16" s="30"/>
    </row>
    <row r="17" spans="1:23" ht="16.2" thickBot="1" x14ac:dyDescent="0.35">
      <c r="A17" s="2"/>
      <c r="D17" s="36"/>
      <c r="H17" s="2"/>
      <c r="J17" s="40" t="s">
        <v>95</v>
      </c>
      <c r="K17" s="41">
        <v>13000000</v>
      </c>
      <c r="L17" s="29"/>
      <c r="M17" s="2"/>
      <c r="V17" s="2"/>
      <c r="W17" s="30"/>
    </row>
    <row r="18" spans="1:23" ht="15" thickTop="1" x14ac:dyDescent="0.3">
      <c r="A18" s="2"/>
      <c r="H18" s="2"/>
      <c r="L18" s="29"/>
      <c r="M18" s="2"/>
      <c r="O18" s="19" t="s">
        <v>4</v>
      </c>
      <c r="P18" s="19">
        <f>SUM(P9:P17)</f>
        <v>3873278.6240000003</v>
      </c>
      <c r="V18" s="2"/>
      <c r="W18" s="30"/>
    </row>
    <row r="19" spans="1:23" ht="16.2" thickBot="1" x14ac:dyDescent="0.35">
      <c r="A19" s="2"/>
      <c r="H19" s="2"/>
      <c r="L19" s="29"/>
      <c r="M19" s="2"/>
      <c r="O19" s="40" t="s">
        <v>96</v>
      </c>
      <c r="P19" s="41">
        <v>10555261</v>
      </c>
      <c r="V19" s="2"/>
      <c r="W19" s="30"/>
    </row>
    <row r="20" spans="1:23" ht="15" thickTop="1" x14ac:dyDescent="0.3">
      <c r="A20" s="2"/>
      <c r="H20" s="2"/>
      <c r="L20" s="29"/>
      <c r="M20" s="2"/>
      <c r="V20" s="2"/>
      <c r="W20" s="30"/>
    </row>
    <row r="21" spans="1:23" x14ac:dyDescent="0.3">
      <c r="A21" s="2"/>
      <c r="H21" s="2"/>
      <c r="L21" s="29"/>
      <c r="M21" s="2"/>
      <c r="V21" s="2"/>
      <c r="W21" s="30"/>
    </row>
    <row r="22" spans="1:23" x14ac:dyDescent="0.3">
      <c r="A22" s="2"/>
      <c r="B22" s="2"/>
      <c r="C22" s="2"/>
      <c r="D22" s="2"/>
      <c r="E22" s="2"/>
      <c r="F22" s="2"/>
      <c r="G22" s="2"/>
      <c r="H22" s="2"/>
      <c r="I22" s="2"/>
      <c r="J22" s="28"/>
      <c r="K22" s="2"/>
      <c r="L22" s="2"/>
      <c r="M22" s="2"/>
      <c r="N22" s="2"/>
      <c r="O22" s="2"/>
      <c r="P22" s="2"/>
      <c r="Q22" s="2"/>
      <c r="R22" s="2"/>
      <c r="S22" s="2"/>
      <c r="T22" s="2"/>
      <c r="U22" s="2"/>
      <c r="V22" s="2"/>
      <c r="W22" s="30"/>
    </row>
    <row r="23" spans="1:23" x14ac:dyDescent="0.3">
      <c r="A23" s="30"/>
      <c r="B23" s="30"/>
      <c r="C23" s="30"/>
      <c r="D23" s="30"/>
      <c r="E23" s="30"/>
      <c r="F23" s="30"/>
      <c r="G23" s="30"/>
      <c r="H23" s="2"/>
      <c r="I23" s="29"/>
      <c r="J23" s="25"/>
      <c r="L23" s="29"/>
      <c r="M23" s="2"/>
      <c r="Q23" s="2"/>
      <c r="R23" s="30"/>
      <c r="S23" s="30"/>
      <c r="T23" s="30"/>
      <c r="U23" s="30"/>
      <c r="V23" s="30"/>
      <c r="W23" s="30"/>
    </row>
    <row r="24" spans="1:23" x14ac:dyDescent="0.3">
      <c r="A24" s="30"/>
      <c r="B24" s="30"/>
      <c r="C24" s="30"/>
      <c r="D24" s="30"/>
      <c r="E24" s="30"/>
      <c r="F24" s="30"/>
      <c r="G24" s="30"/>
      <c r="H24" s="2"/>
      <c r="I24" s="29"/>
      <c r="J24" s="25"/>
      <c r="K24" s="29"/>
      <c r="L24" s="29"/>
      <c r="M24" s="2"/>
      <c r="N24" s="29"/>
      <c r="O24" s="29"/>
      <c r="P24" s="29"/>
      <c r="Q24" s="2"/>
      <c r="R24" s="30"/>
      <c r="S24" s="30"/>
      <c r="T24" s="30"/>
      <c r="U24" s="30"/>
      <c r="V24" s="30"/>
      <c r="W24" s="30"/>
    </row>
    <row r="25" spans="1:23" x14ac:dyDescent="0.3">
      <c r="A25" s="30"/>
      <c r="B25" s="30"/>
      <c r="C25" s="30"/>
      <c r="D25" s="30"/>
      <c r="E25" s="30"/>
      <c r="F25" s="30"/>
      <c r="G25" s="30"/>
      <c r="H25" s="2"/>
      <c r="I25" s="29"/>
      <c r="L25" s="29"/>
      <c r="M25" s="2"/>
      <c r="Q25" s="2"/>
      <c r="R25" s="30"/>
      <c r="S25" s="30"/>
      <c r="T25" s="30"/>
      <c r="U25" s="30"/>
      <c r="V25" s="30"/>
      <c r="W25" s="30"/>
    </row>
    <row r="26" spans="1:23" x14ac:dyDescent="0.3">
      <c r="A26" s="30"/>
      <c r="B26" s="30"/>
      <c r="C26" s="30"/>
      <c r="D26" s="30"/>
      <c r="E26" s="30"/>
      <c r="F26" s="30"/>
      <c r="G26" s="30"/>
      <c r="H26" s="2"/>
      <c r="I26" s="25"/>
      <c r="J26" s="25"/>
      <c r="K26" s="25"/>
      <c r="L26" s="29"/>
      <c r="M26" s="2"/>
      <c r="Q26" s="2"/>
      <c r="R26" s="30"/>
      <c r="S26" s="30"/>
      <c r="T26" s="30"/>
      <c r="U26" s="30"/>
      <c r="V26" s="30"/>
      <c r="W26" s="30"/>
    </row>
    <row r="27" spans="1:23" x14ac:dyDescent="0.3">
      <c r="A27" s="30"/>
      <c r="B27" s="30"/>
      <c r="C27" s="30"/>
      <c r="D27" s="30"/>
      <c r="E27" s="30"/>
      <c r="F27" s="30"/>
      <c r="G27" s="30"/>
      <c r="H27" s="2"/>
      <c r="I27" s="25"/>
      <c r="J27" s="25"/>
      <c r="K27" s="25"/>
      <c r="L27" s="29"/>
      <c r="M27" s="2"/>
      <c r="Q27" s="2"/>
      <c r="R27" s="30"/>
      <c r="S27" s="30"/>
      <c r="T27" s="30"/>
      <c r="U27" s="30"/>
      <c r="V27" s="30"/>
      <c r="W27" s="30"/>
    </row>
    <row r="28" spans="1:23" ht="15.6" x14ac:dyDescent="0.3">
      <c r="A28" s="30"/>
      <c r="B28" s="30"/>
      <c r="C28" s="30"/>
      <c r="D28" s="30"/>
      <c r="E28" s="30"/>
      <c r="F28" s="30"/>
      <c r="G28" s="42"/>
      <c r="H28" s="28"/>
      <c r="I28" s="25"/>
      <c r="J28" s="25"/>
      <c r="K28" s="25"/>
      <c r="L28" s="29"/>
      <c r="M28" s="2"/>
      <c r="N28" s="31" t="s">
        <v>97</v>
      </c>
      <c r="Q28" s="2"/>
      <c r="R28" s="30"/>
      <c r="S28" s="30"/>
      <c r="T28" s="30"/>
      <c r="U28" s="30"/>
      <c r="V28" s="30"/>
      <c r="W28" s="30"/>
    </row>
    <row r="29" spans="1:23" x14ac:dyDescent="0.3">
      <c r="A29" s="30"/>
      <c r="B29" s="30"/>
      <c r="C29" s="30"/>
      <c r="D29" s="30"/>
      <c r="E29" s="30"/>
      <c r="F29" s="30"/>
      <c r="G29" s="30"/>
      <c r="H29" s="2"/>
      <c r="I29" s="25"/>
      <c r="J29" s="25"/>
      <c r="K29" s="25"/>
      <c r="L29" s="29"/>
      <c r="M29" s="2"/>
      <c r="Q29" s="2"/>
      <c r="R29" s="30"/>
      <c r="S29" s="30"/>
      <c r="T29" s="30"/>
      <c r="U29" s="30"/>
      <c r="V29" s="30"/>
      <c r="W29" s="30"/>
    </row>
    <row r="30" spans="1:23" x14ac:dyDescent="0.3">
      <c r="A30" s="30"/>
      <c r="B30" s="30"/>
      <c r="C30" s="30"/>
      <c r="D30" s="30"/>
      <c r="E30" s="30"/>
      <c r="F30" s="30"/>
      <c r="G30" s="30"/>
      <c r="H30" s="2"/>
      <c r="I30" s="25"/>
      <c r="J30" s="25"/>
      <c r="K30" s="25"/>
      <c r="L30" s="29"/>
      <c r="M30" s="2"/>
      <c r="Q30" s="2"/>
      <c r="R30" s="30"/>
      <c r="S30" s="30"/>
      <c r="T30" s="30"/>
      <c r="U30" s="30"/>
      <c r="V30" s="30"/>
      <c r="W30" s="30"/>
    </row>
    <row r="31" spans="1:23" x14ac:dyDescent="0.3">
      <c r="A31" s="30"/>
      <c r="B31" s="30"/>
      <c r="C31" s="30"/>
      <c r="D31" s="30"/>
      <c r="E31" s="30"/>
      <c r="F31" s="30"/>
      <c r="G31" s="30"/>
      <c r="H31" s="2"/>
      <c r="I31" s="25"/>
      <c r="J31" s="25"/>
      <c r="K31" s="25"/>
      <c r="L31" s="29"/>
      <c r="M31" s="2"/>
      <c r="Q31" s="2"/>
      <c r="R31" s="30"/>
      <c r="S31" s="30"/>
      <c r="T31" s="30"/>
      <c r="U31" s="30"/>
      <c r="V31" s="30"/>
      <c r="W31" s="30"/>
    </row>
    <row r="32" spans="1:23" x14ac:dyDescent="0.3">
      <c r="A32" s="30"/>
      <c r="B32" s="30"/>
      <c r="C32" s="30"/>
      <c r="D32" s="30"/>
      <c r="E32" s="30"/>
      <c r="F32" s="30"/>
      <c r="G32" s="30"/>
      <c r="H32" s="2"/>
      <c r="I32" s="25"/>
      <c r="J32" s="25"/>
      <c r="K32" s="25"/>
      <c r="L32" s="29"/>
      <c r="M32" s="2"/>
      <c r="N32" s="35" t="s">
        <v>76</v>
      </c>
      <c r="O32" s="35" t="s">
        <v>98</v>
      </c>
      <c r="Q32" s="2"/>
      <c r="R32" s="30"/>
      <c r="S32" s="30"/>
      <c r="T32" s="30"/>
      <c r="U32" s="30"/>
      <c r="V32" s="30"/>
      <c r="W32" s="30"/>
    </row>
    <row r="33" spans="1:23" x14ac:dyDescent="0.3">
      <c r="A33" s="30"/>
      <c r="B33" s="30"/>
      <c r="C33" s="30"/>
      <c r="D33" s="30"/>
      <c r="E33" s="30"/>
      <c r="F33" s="30"/>
      <c r="G33" s="30"/>
      <c r="H33" s="2"/>
      <c r="I33" s="25"/>
      <c r="J33" s="25"/>
      <c r="K33" s="25"/>
      <c r="L33" s="29"/>
      <c r="M33" s="2"/>
      <c r="N33" s="35" t="s">
        <v>99</v>
      </c>
      <c r="O33">
        <v>5675239.67871032</v>
      </c>
      <c r="Q33" s="2"/>
      <c r="R33" s="30"/>
      <c r="S33" s="30"/>
      <c r="T33" s="30"/>
      <c r="U33" s="30"/>
      <c r="V33" s="30"/>
      <c r="W33" s="30"/>
    </row>
    <row r="34" spans="1:23" x14ac:dyDescent="0.3">
      <c r="A34" s="30"/>
      <c r="B34" s="30"/>
      <c r="C34" s="30"/>
      <c r="D34" s="30"/>
      <c r="E34" s="30"/>
      <c r="F34" s="30"/>
      <c r="G34" s="30"/>
      <c r="H34" s="2"/>
      <c r="I34" s="25"/>
      <c r="J34" s="25"/>
      <c r="K34" s="25"/>
      <c r="L34" s="29"/>
      <c r="M34" s="2"/>
      <c r="N34" s="35"/>
      <c r="Q34" s="2"/>
      <c r="R34" s="30"/>
      <c r="S34" s="30"/>
      <c r="T34" s="30"/>
      <c r="U34" s="30"/>
      <c r="V34" s="30"/>
      <c r="W34" s="30"/>
    </row>
    <row r="35" spans="1:23" x14ac:dyDescent="0.3">
      <c r="A35" s="30"/>
      <c r="B35" s="30"/>
      <c r="C35" s="30"/>
      <c r="D35" s="30"/>
      <c r="E35" s="30"/>
      <c r="F35" s="30"/>
      <c r="G35" s="30"/>
      <c r="H35" s="2"/>
      <c r="I35" s="25"/>
      <c r="J35" s="25"/>
      <c r="K35" s="25"/>
      <c r="L35" s="29"/>
      <c r="M35" s="2"/>
      <c r="Q35" s="2"/>
      <c r="R35" s="30"/>
      <c r="S35" s="30"/>
      <c r="T35" s="30"/>
      <c r="U35" s="30"/>
      <c r="V35" s="30"/>
      <c r="W35" s="30"/>
    </row>
    <row r="36" spans="1:23" ht="18" x14ac:dyDescent="0.35">
      <c r="A36" s="30"/>
      <c r="B36" s="30"/>
      <c r="C36" s="30"/>
      <c r="D36" s="30"/>
      <c r="E36" s="30"/>
      <c r="F36" s="30"/>
      <c r="G36" s="30"/>
      <c r="H36" s="2"/>
      <c r="I36" s="25"/>
      <c r="J36" s="25"/>
      <c r="K36" s="25"/>
      <c r="L36" s="29"/>
      <c r="M36" s="2"/>
      <c r="N36" s="43" t="s">
        <v>100</v>
      </c>
      <c r="O36" s="44">
        <f>K16/O33</f>
        <v>0.83495977831139478</v>
      </c>
      <c r="Q36" s="2"/>
      <c r="R36" s="30"/>
      <c r="S36" s="30"/>
      <c r="T36" s="30"/>
      <c r="U36" s="30"/>
      <c r="V36" s="30"/>
      <c r="W36" s="30"/>
    </row>
    <row r="37" spans="1:23" x14ac:dyDescent="0.3">
      <c r="A37" s="30"/>
      <c r="B37" s="30"/>
      <c r="C37" s="30"/>
      <c r="D37" s="30"/>
      <c r="E37" s="30"/>
      <c r="F37" s="30"/>
      <c r="G37" s="30"/>
      <c r="H37" s="2"/>
      <c r="I37" s="25"/>
      <c r="J37" s="25"/>
      <c r="K37" s="25"/>
      <c r="L37" s="29"/>
      <c r="M37" s="2"/>
      <c r="Q37" s="2"/>
      <c r="R37" s="30"/>
      <c r="S37" s="30"/>
      <c r="T37" s="30"/>
      <c r="U37" s="30"/>
      <c r="V37" s="30"/>
      <c r="W37" s="30"/>
    </row>
    <row r="38" spans="1:23" x14ac:dyDescent="0.3">
      <c r="A38" s="30"/>
      <c r="B38" s="30"/>
      <c r="C38" s="30"/>
      <c r="D38" s="30"/>
      <c r="E38" s="30"/>
      <c r="F38" s="30"/>
      <c r="G38" s="30"/>
      <c r="H38" s="2"/>
      <c r="I38" s="25"/>
      <c r="J38" s="25"/>
      <c r="K38" s="25"/>
      <c r="L38" s="29"/>
      <c r="M38" s="2"/>
      <c r="Q38" s="2"/>
      <c r="R38" s="30"/>
      <c r="S38" s="30"/>
      <c r="T38" s="30"/>
      <c r="U38" s="30"/>
      <c r="V38" s="30"/>
      <c r="W38" s="30"/>
    </row>
    <row r="39" spans="1:23" x14ac:dyDescent="0.3">
      <c r="A39" s="30"/>
      <c r="B39" s="30"/>
      <c r="C39" s="30"/>
      <c r="D39" s="30"/>
      <c r="E39" s="30"/>
      <c r="F39" s="30"/>
      <c r="G39" s="30"/>
      <c r="H39" s="2"/>
      <c r="I39" s="25"/>
      <c r="J39" s="25"/>
      <c r="K39" s="25"/>
      <c r="L39" s="29"/>
      <c r="M39" s="2"/>
      <c r="Q39" s="2"/>
      <c r="R39" s="30"/>
      <c r="S39" s="30"/>
      <c r="T39" s="30"/>
      <c r="U39" s="30"/>
      <c r="V39" s="30"/>
      <c r="W39" s="30"/>
    </row>
    <row r="40" spans="1:23" x14ac:dyDescent="0.3">
      <c r="A40" s="30"/>
      <c r="B40" s="30"/>
      <c r="C40" s="30"/>
      <c r="D40" s="30"/>
      <c r="E40" s="30"/>
      <c r="F40" s="30"/>
      <c r="G40" s="30"/>
      <c r="H40" s="2"/>
      <c r="I40" s="25"/>
      <c r="J40" s="25"/>
      <c r="K40" s="25"/>
      <c r="L40" s="29"/>
      <c r="M40" s="2"/>
      <c r="Q40" s="2"/>
      <c r="R40" s="30"/>
      <c r="S40" s="30"/>
      <c r="T40" s="30"/>
      <c r="U40" s="30"/>
      <c r="V40" s="30"/>
      <c r="W40" s="30"/>
    </row>
    <row r="41" spans="1:23" x14ac:dyDescent="0.3">
      <c r="A41" s="30"/>
      <c r="B41" s="30"/>
      <c r="C41" s="30"/>
      <c r="D41" s="30"/>
      <c r="E41" s="30"/>
      <c r="F41" s="30"/>
      <c r="G41" s="30"/>
      <c r="H41" s="2"/>
      <c r="I41" s="25"/>
      <c r="J41" s="25"/>
      <c r="K41" s="25"/>
      <c r="L41" s="29"/>
      <c r="M41" s="2"/>
      <c r="Q41" s="2"/>
      <c r="R41" s="30"/>
      <c r="S41" s="30"/>
      <c r="T41" s="30"/>
      <c r="U41" s="30"/>
      <c r="V41" s="30"/>
      <c r="W41" s="30"/>
    </row>
    <row r="42" spans="1:23" x14ac:dyDescent="0.3">
      <c r="A42" s="30"/>
      <c r="B42" s="30"/>
      <c r="C42" s="30"/>
      <c r="D42" s="30"/>
      <c r="E42" s="30"/>
      <c r="F42" s="30"/>
      <c r="G42" s="30"/>
      <c r="H42" s="2"/>
      <c r="I42" s="25"/>
      <c r="J42" s="25"/>
      <c r="K42" s="25"/>
      <c r="L42" s="29"/>
      <c r="M42" s="2"/>
      <c r="Q42" s="2"/>
      <c r="R42" s="30"/>
      <c r="S42" s="30"/>
      <c r="T42" s="30"/>
      <c r="U42" s="30"/>
      <c r="V42" s="30"/>
      <c r="W42" s="30"/>
    </row>
    <row r="43" spans="1:23" x14ac:dyDescent="0.3">
      <c r="A43" s="30"/>
      <c r="B43" s="30"/>
      <c r="C43" s="30"/>
      <c r="D43" s="30"/>
      <c r="E43" s="30"/>
      <c r="F43" s="30"/>
      <c r="G43" s="30"/>
      <c r="H43" s="2"/>
      <c r="I43" s="25"/>
      <c r="J43" s="25"/>
      <c r="K43" s="25"/>
      <c r="L43" s="29"/>
      <c r="M43" s="2"/>
      <c r="Q43" s="2"/>
      <c r="R43" s="30"/>
      <c r="S43" s="30"/>
      <c r="T43" s="30"/>
      <c r="U43" s="30"/>
      <c r="V43" s="30"/>
      <c r="W43" s="30"/>
    </row>
    <row r="44" spans="1:23" x14ac:dyDescent="0.3">
      <c r="A44" s="30"/>
      <c r="B44" s="30"/>
      <c r="C44" s="30"/>
      <c r="D44" s="30"/>
      <c r="E44" s="30"/>
      <c r="F44" s="30"/>
      <c r="G44" s="30"/>
      <c r="H44" s="2"/>
      <c r="I44" s="25"/>
      <c r="J44" s="25"/>
      <c r="K44" s="25"/>
      <c r="L44" s="29"/>
      <c r="M44" s="2"/>
      <c r="Q44" s="2"/>
      <c r="R44" s="30"/>
      <c r="S44" s="30"/>
      <c r="T44" s="30"/>
      <c r="U44" s="30"/>
      <c r="V44" s="30"/>
      <c r="W44" s="30"/>
    </row>
    <row r="45" spans="1:23" x14ac:dyDescent="0.3">
      <c r="A45" s="30"/>
      <c r="B45" s="30"/>
      <c r="C45" s="30"/>
      <c r="D45" s="30"/>
      <c r="E45" s="30"/>
      <c r="F45" s="30"/>
      <c r="G45" s="30"/>
      <c r="H45" s="2"/>
      <c r="I45" s="25"/>
      <c r="J45" s="25"/>
      <c r="K45" s="25"/>
      <c r="L45" s="29"/>
      <c r="M45" s="2"/>
      <c r="Q45" s="2"/>
      <c r="R45" s="30"/>
      <c r="S45" s="30"/>
      <c r="T45" s="30"/>
      <c r="U45" s="30"/>
      <c r="V45" s="30"/>
      <c r="W45" s="30"/>
    </row>
    <row r="46" spans="1:23" x14ac:dyDescent="0.3">
      <c r="A46" s="30"/>
      <c r="B46" s="30"/>
      <c r="C46" s="30"/>
      <c r="D46" s="30"/>
      <c r="E46" s="30"/>
      <c r="F46" s="30"/>
      <c r="G46" s="30"/>
      <c r="H46" s="2"/>
      <c r="I46" s="25"/>
      <c r="J46" s="25"/>
      <c r="K46" s="25"/>
      <c r="L46" s="29"/>
      <c r="M46" s="2"/>
      <c r="Q46" s="2"/>
      <c r="R46" s="30"/>
      <c r="S46" s="30"/>
      <c r="T46" s="30"/>
      <c r="U46" s="30"/>
      <c r="V46" s="30"/>
      <c r="W46" s="30"/>
    </row>
    <row r="47" spans="1:23" x14ac:dyDescent="0.3">
      <c r="A47" s="30"/>
      <c r="B47" s="30"/>
      <c r="C47" s="30"/>
      <c r="D47" s="30"/>
      <c r="E47" s="30"/>
      <c r="F47" s="30"/>
      <c r="G47" s="30"/>
      <c r="H47" s="2"/>
      <c r="I47" s="25"/>
      <c r="J47" s="25"/>
      <c r="K47" s="25"/>
      <c r="L47" s="29"/>
      <c r="M47" s="2"/>
      <c r="Q47" s="2"/>
      <c r="R47" s="30"/>
      <c r="S47" s="30"/>
      <c r="T47" s="30"/>
      <c r="U47" s="30"/>
      <c r="V47" s="30"/>
      <c r="W47" s="30"/>
    </row>
    <row r="48" spans="1:23" x14ac:dyDescent="0.3">
      <c r="A48" s="30"/>
      <c r="B48" s="30"/>
      <c r="C48" s="30"/>
      <c r="D48" s="30"/>
      <c r="E48" s="30"/>
      <c r="F48" s="30"/>
      <c r="G48" s="30"/>
      <c r="H48" s="2"/>
      <c r="I48" s="2"/>
      <c r="J48" s="28"/>
      <c r="K48" s="2"/>
      <c r="L48" s="2"/>
      <c r="M48" s="2"/>
      <c r="N48" s="2"/>
      <c r="O48" s="2"/>
      <c r="P48" s="2"/>
      <c r="Q48" s="2"/>
      <c r="R48" s="30"/>
      <c r="S48" s="30"/>
      <c r="T48" s="30"/>
      <c r="U48" s="30"/>
      <c r="V48" s="30"/>
      <c r="W48" s="30"/>
    </row>
    <row r="49" spans="1:23" x14ac:dyDescent="0.3">
      <c r="A49" s="30"/>
      <c r="B49" s="30"/>
      <c r="C49" s="30"/>
      <c r="D49" s="30"/>
      <c r="E49" s="30"/>
      <c r="F49" s="30"/>
      <c r="G49" s="30"/>
      <c r="H49" s="30"/>
      <c r="I49" s="30"/>
      <c r="J49" s="42"/>
      <c r="K49" s="30"/>
      <c r="L49" s="30"/>
      <c r="M49" s="30"/>
      <c r="N49" s="30"/>
      <c r="O49" s="30"/>
      <c r="P49" s="30"/>
      <c r="Q49" s="30"/>
      <c r="R49" s="30"/>
      <c r="S49" s="30"/>
      <c r="T49" s="30"/>
      <c r="U49" s="30"/>
      <c r="V49" s="30"/>
      <c r="W49" s="30"/>
    </row>
  </sheetData>
  <pageMargins left="0.7" right="0.7" top="0.75" bottom="0.75" header="0.3" footer="0.3"/>
  <drawing r:id="rId1"/>
  <tableParts count="4">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E53C8-B142-4666-A0C7-C5E20F54529F}">
  <sheetPr codeName="Feuil2"/>
  <dimension ref="A1:AS75"/>
  <sheetViews>
    <sheetView topLeftCell="N1" zoomScale="10" workbookViewId="0">
      <selection activeCell="AI305" sqref="AI305"/>
    </sheetView>
  </sheetViews>
  <sheetFormatPr baseColWidth="10" defaultRowHeight="14.4" x14ac:dyDescent="0.3"/>
  <cols>
    <col min="3" max="7" width="11.6640625" bestFit="1" customWidth="1"/>
    <col min="8" max="8" width="18.21875" bestFit="1" customWidth="1"/>
    <col min="9" max="9" width="23" bestFit="1" customWidth="1"/>
    <col min="10" max="14" width="11.6640625" bestFit="1" customWidth="1"/>
    <col min="15" max="15" width="25.44140625" bestFit="1" customWidth="1"/>
    <col min="16" max="23" width="11.6640625" bestFit="1" customWidth="1"/>
    <col min="28" max="28" width="115.77734375" bestFit="1" customWidth="1"/>
    <col min="29" max="29" width="52.88671875" bestFit="1" customWidth="1"/>
    <col min="34" max="34" width="11.6640625" bestFit="1" customWidth="1"/>
    <col min="35" max="35" width="127.21875" bestFit="1" customWidth="1"/>
    <col min="36" max="36" width="52.88671875" bestFit="1" customWidth="1"/>
    <col min="42" max="42" width="115.77734375" bestFit="1" customWidth="1"/>
    <col min="43" max="43" width="45.5546875" bestFit="1" customWidth="1"/>
  </cols>
  <sheetData>
    <row r="1" spans="1:44" ht="15.6" x14ac:dyDescent="0.3">
      <c r="A1" s="1" t="s">
        <v>0</v>
      </c>
      <c r="D1" t="s">
        <v>1</v>
      </c>
      <c r="H1" t="s">
        <v>2</v>
      </c>
      <c r="J1" t="s">
        <v>3</v>
      </c>
      <c r="L1" t="s">
        <v>4</v>
      </c>
      <c r="N1" t="s">
        <v>5</v>
      </c>
      <c r="Y1" s="2"/>
      <c r="AF1" s="2"/>
      <c r="AM1" s="2"/>
    </row>
    <row r="2" spans="1:44" x14ac:dyDescent="0.3">
      <c r="D2" s="3" t="s">
        <v>6</v>
      </c>
      <c r="E2" s="3" t="s">
        <v>7</v>
      </c>
      <c r="F2" s="3" t="s">
        <v>8</v>
      </c>
      <c r="H2" s="3" t="s">
        <v>9</v>
      </c>
      <c r="J2" s="3" t="s">
        <v>9</v>
      </c>
      <c r="L2" s="3" t="s">
        <v>10</v>
      </c>
      <c r="N2" s="3" t="s">
        <v>11</v>
      </c>
      <c r="O2" s="3" t="s">
        <v>12</v>
      </c>
      <c r="P2" s="3" t="s">
        <v>13</v>
      </c>
      <c r="Q2" s="3" t="s">
        <v>10</v>
      </c>
      <c r="Y2" s="2"/>
      <c r="AF2" s="2"/>
      <c r="AM2" s="2"/>
    </row>
    <row r="3" spans="1:44" ht="18" x14ac:dyDescent="0.35">
      <c r="B3" s="4" t="s">
        <v>14</v>
      </c>
      <c r="D3" s="4">
        <v>4217.53</v>
      </c>
      <c r="E3" s="4">
        <v>5310.44</v>
      </c>
      <c r="F3" s="4">
        <v>1546.57</v>
      </c>
      <c r="H3" s="4">
        <v>1921.18</v>
      </c>
      <c r="J3">
        <v>2659.51</v>
      </c>
      <c r="L3">
        <v>368.43</v>
      </c>
      <c r="N3" s="4">
        <f>21628.37+20.1</f>
        <v>21648.469999999998</v>
      </c>
      <c r="O3" s="4">
        <f>20811.17+1003.43</f>
        <v>21814.6</v>
      </c>
      <c r="P3" s="4">
        <v>23045.99</v>
      </c>
      <c r="Q3" s="4">
        <v>8588.52</v>
      </c>
      <c r="Y3" s="2"/>
      <c r="Z3" s="5" t="s">
        <v>15</v>
      </c>
      <c r="AC3" s="6"/>
      <c r="AF3" s="2"/>
      <c r="AG3" s="5" t="s">
        <v>16</v>
      </c>
      <c r="AJ3" s="6"/>
      <c r="AM3" s="2"/>
      <c r="AN3" s="5" t="s">
        <v>17</v>
      </c>
      <c r="AQ3" s="6"/>
    </row>
    <row r="4" spans="1:44" ht="31.2" x14ac:dyDescent="0.6">
      <c r="B4" s="7" t="s">
        <v>18</v>
      </c>
      <c r="E4" s="7">
        <v>33.35</v>
      </c>
      <c r="J4">
        <v>2635.27</v>
      </c>
      <c r="L4">
        <v>38.369999999999997</v>
      </c>
      <c r="N4" s="7">
        <v>267.25</v>
      </c>
      <c r="O4" s="7">
        <v>499.31</v>
      </c>
      <c r="P4" s="7">
        <v>481.31</v>
      </c>
      <c r="Q4" s="4">
        <v>47.85</v>
      </c>
      <c r="Y4" s="2"/>
      <c r="AB4" s="8" t="s">
        <v>19</v>
      </c>
      <c r="AC4" s="9">
        <v>343256.46</v>
      </c>
      <c r="AD4" s="8" t="s">
        <v>20</v>
      </c>
      <c r="AF4" s="2"/>
      <c r="AI4" s="8" t="s">
        <v>19</v>
      </c>
      <c r="AJ4" s="9">
        <v>343544.79</v>
      </c>
      <c r="AK4" s="8" t="s">
        <v>20</v>
      </c>
      <c r="AM4" s="2"/>
      <c r="AP4" s="8" t="s">
        <v>19</v>
      </c>
      <c r="AQ4" s="9">
        <f>89782.2*3.1</f>
        <v>278324.82</v>
      </c>
      <c r="AR4" s="8" t="s">
        <v>20</v>
      </c>
    </row>
    <row r="5" spans="1:44" x14ac:dyDescent="0.3">
      <c r="J5">
        <v>1183.1300000000001</v>
      </c>
      <c r="L5" s="4">
        <f>SUM(L3:L4)</f>
        <v>406.8</v>
      </c>
      <c r="O5" s="7">
        <v>126.39</v>
      </c>
      <c r="P5" s="7">
        <v>34.83</v>
      </c>
      <c r="Q5" s="7">
        <f>164.42+259.13</f>
        <v>423.54999999999995</v>
      </c>
      <c r="Y5" s="2"/>
      <c r="AC5" s="6"/>
      <c r="AF5" s="2"/>
      <c r="AJ5" s="6"/>
      <c r="AM5" s="2"/>
      <c r="AQ5" s="6"/>
    </row>
    <row r="6" spans="1:44" ht="31.2" x14ac:dyDescent="0.6">
      <c r="J6">
        <v>2698.63</v>
      </c>
      <c r="Y6" s="2"/>
      <c r="AB6" s="8" t="s">
        <v>21</v>
      </c>
      <c r="AC6" s="9">
        <f>4281.04*3.1</f>
        <v>13271.224</v>
      </c>
      <c r="AD6" s="8" t="s">
        <v>20</v>
      </c>
      <c r="AF6" s="2"/>
      <c r="AI6" s="8" t="s">
        <v>21</v>
      </c>
      <c r="AJ6" s="9">
        <f>5061.39*3.1</f>
        <v>15690.309000000001</v>
      </c>
      <c r="AK6" s="8" t="s">
        <v>20</v>
      </c>
      <c r="AM6" s="2"/>
      <c r="AP6" s="8" t="s">
        <v>21</v>
      </c>
      <c r="AQ6" s="10">
        <v>6527.8249999999998</v>
      </c>
      <c r="AR6" s="8" t="s">
        <v>20</v>
      </c>
    </row>
    <row r="7" spans="1:44" x14ac:dyDescent="0.3">
      <c r="J7" s="4">
        <f>SUM(Tableau573[16-oct])</f>
        <v>9176.5400000000009</v>
      </c>
      <c r="Y7" s="2"/>
      <c r="AC7" s="6"/>
      <c r="AF7" s="2"/>
      <c r="AJ7" s="6"/>
      <c r="AM7" s="2"/>
      <c r="AQ7" s="6"/>
    </row>
    <row r="8" spans="1:44" ht="31.2" x14ac:dyDescent="0.6">
      <c r="Y8" s="2"/>
      <c r="AB8" s="8" t="s">
        <v>22</v>
      </c>
      <c r="AC8" s="9">
        <f>(63.5+267.27)*2.7</f>
        <v>893.07900000000006</v>
      </c>
      <c r="AD8" s="8" t="s">
        <v>20</v>
      </c>
      <c r="AF8" s="2"/>
      <c r="AI8" s="8" t="s">
        <v>22</v>
      </c>
      <c r="AJ8" s="9">
        <f>(63.26+94.37+176+423.96+331.81+90)*2.7</f>
        <v>3184.3799999999997</v>
      </c>
      <c r="AK8" s="8" t="s">
        <v>20</v>
      </c>
      <c r="AM8" s="2"/>
      <c r="AP8" s="8" t="s">
        <v>22</v>
      </c>
      <c r="AQ8" s="9">
        <v>2181.627</v>
      </c>
      <c r="AR8" s="8" t="s">
        <v>20</v>
      </c>
    </row>
    <row r="9" spans="1:44" ht="18" x14ac:dyDescent="0.35">
      <c r="B9" s="4" t="s">
        <v>23</v>
      </c>
      <c r="C9" cm="1">
        <f t="array" ref="C9">D3+E3+F3+Tableau875[16-oct]+Tableau573[[#Totals],[16-oct]]+L5+N3+O3+P3+Q3+Q4</f>
        <v>97724.49000000002</v>
      </c>
      <c r="D9" t="s">
        <v>24</v>
      </c>
      <c r="F9" s="11" t="s">
        <v>25</v>
      </c>
      <c r="Y9" s="2"/>
      <c r="AF9" s="2"/>
      <c r="AM9" s="2"/>
    </row>
    <row r="10" spans="1:44" x14ac:dyDescent="0.3">
      <c r="B10" s="7" t="s">
        <v>26</v>
      </c>
      <c r="C10">
        <f>E4+N4+O4+O5+P4+P5+Q5</f>
        <v>1865.99</v>
      </c>
      <c r="D10" t="s">
        <v>24</v>
      </c>
      <c r="Y10" s="2"/>
      <c r="AA10" s="12"/>
      <c r="AF10" s="2"/>
      <c r="AM10" s="2"/>
    </row>
    <row r="11" spans="1:44" ht="36.6" x14ac:dyDescent="0.7">
      <c r="G11" s="13" t="s">
        <v>27</v>
      </c>
      <c r="H11" s="14">
        <f>H14*0.951087</f>
        <v>292919.66610800405</v>
      </c>
      <c r="I11" s="13" t="s">
        <v>28</v>
      </c>
      <c r="K11" s="13">
        <f>C9*3.1</f>
        <v>302945.91900000005</v>
      </c>
      <c r="M11" s="15" t="s">
        <v>29</v>
      </c>
      <c r="N11" s="15"/>
      <c r="O11" s="16">
        <f>H14*0.1865</f>
        <v>57439.033158000013</v>
      </c>
      <c r="P11" s="15" t="s">
        <v>20</v>
      </c>
      <c r="Y11" s="2"/>
      <c r="AB11" s="17" t="s">
        <v>30</v>
      </c>
      <c r="AC11" s="18">
        <f>AC4+AC6+AC8</f>
        <v>357420.76300000004</v>
      </c>
      <c r="AD11" s="17" t="s">
        <v>20</v>
      </c>
      <c r="AF11" s="2"/>
      <c r="AI11" s="17" t="s">
        <v>30</v>
      </c>
      <c r="AJ11" s="18">
        <f>AJ4+AJ6+AJ8</f>
        <v>362419.47899999999</v>
      </c>
      <c r="AK11" s="17" t="s">
        <v>20</v>
      </c>
      <c r="AM11" s="2"/>
      <c r="AP11" s="17" t="s">
        <v>30</v>
      </c>
      <c r="AQ11" s="18">
        <f>AQ4+AQ6+AQ8</f>
        <v>287034.272</v>
      </c>
      <c r="AR11" s="17" t="s">
        <v>20</v>
      </c>
    </row>
    <row r="12" spans="1:44" ht="23.4" x14ac:dyDescent="0.45">
      <c r="G12" s="13" t="s">
        <v>31</v>
      </c>
      <c r="H12" s="19">
        <f>H14*0.042933</f>
        <v>13222.681021836002</v>
      </c>
      <c r="I12" s="13" t="s">
        <v>28</v>
      </c>
      <c r="K12" s="14">
        <f>C10*2.7</f>
        <v>5038.1730000000007</v>
      </c>
      <c r="M12" s="15" t="s">
        <v>32</v>
      </c>
      <c r="N12" s="15"/>
      <c r="O12" s="16">
        <f>H14*(1-0.1865)</f>
        <v>250545.05884200006</v>
      </c>
      <c r="P12" s="15" t="s">
        <v>20</v>
      </c>
      <c r="Y12" s="2"/>
      <c r="AF12" s="2"/>
      <c r="AM12" s="2"/>
    </row>
    <row r="13" spans="1:44" x14ac:dyDescent="0.3">
      <c r="G13" s="13" t="s">
        <v>33</v>
      </c>
      <c r="H13" s="13">
        <f>H14*0.00598</f>
        <v>1841.7448701600003</v>
      </c>
      <c r="I13" s="13" t="s">
        <v>28</v>
      </c>
      <c r="Y13" s="2"/>
      <c r="AF13" s="2"/>
      <c r="AM13" s="2"/>
    </row>
    <row r="14" spans="1:44" ht="15.6" x14ac:dyDescent="0.3">
      <c r="G14" s="20" t="s">
        <v>4</v>
      </c>
      <c r="H14" s="21">
        <f>K11+K12</f>
        <v>307984.09200000006</v>
      </c>
      <c r="I14" s="20" t="s">
        <v>28</v>
      </c>
      <c r="Y14" s="2"/>
      <c r="AF14" s="2"/>
      <c r="AM14" s="2"/>
    </row>
    <row r="15" spans="1:44" x14ac:dyDescent="0.3">
      <c r="Y15" s="2"/>
      <c r="AF15" s="2"/>
      <c r="AM15" s="2"/>
    </row>
    <row r="16" spans="1:44" x14ac:dyDescent="0.3">
      <c r="Y16" s="2"/>
      <c r="AF16" s="2"/>
      <c r="AM16" s="2"/>
    </row>
    <row r="17" spans="1:45" x14ac:dyDescent="0.3">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row>
    <row r="18" spans="1:45" ht="15.6" x14ac:dyDescent="0.3">
      <c r="A18" s="1" t="s">
        <v>34</v>
      </c>
      <c r="F18" s="1" t="s">
        <v>1</v>
      </c>
      <c r="G18" s="1"/>
      <c r="H18" s="1"/>
      <c r="I18" s="1"/>
      <c r="J18" s="1" t="s">
        <v>5</v>
      </c>
      <c r="K18" s="1"/>
      <c r="L18" s="1"/>
      <c r="M18" s="1"/>
      <c r="N18" s="1"/>
      <c r="O18" s="1" t="s">
        <v>3</v>
      </c>
      <c r="P18" s="1"/>
      <c r="Q18" s="1"/>
      <c r="R18" s="1" t="s">
        <v>4</v>
      </c>
      <c r="S18" s="1"/>
      <c r="T18" s="1"/>
      <c r="U18" s="1"/>
      <c r="V18" s="1" t="s">
        <v>2</v>
      </c>
      <c r="Y18" s="2"/>
      <c r="AF18" s="2"/>
      <c r="AM18" s="2"/>
    </row>
    <row r="19" spans="1:45" ht="18" x14ac:dyDescent="0.35">
      <c r="F19" s="3" t="s">
        <v>35</v>
      </c>
      <c r="G19" s="3" t="s">
        <v>36</v>
      </c>
      <c r="H19" s="3" t="s">
        <v>37</v>
      </c>
      <c r="J19" s="3" t="s">
        <v>38</v>
      </c>
      <c r="K19" s="3" t="s">
        <v>39</v>
      </c>
      <c r="L19" s="3" t="s">
        <v>40</v>
      </c>
      <c r="M19" s="3" t="s">
        <v>37</v>
      </c>
      <c r="O19" s="3" t="s">
        <v>41</v>
      </c>
      <c r="P19" s="3" t="s">
        <v>42</v>
      </c>
      <c r="R19" s="3" t="s">
        <v>38</v>
      </c>
      <c r="S19" s="3" t="s">
        <v>39</v>
      </c>
      <c r="T19" s="3" t="s">
        <v>37</v>
      </c>
      <c r="V19" s="3" t="s">
        <v>41</v>
      </c>
      <c r="W19" s="3" t="s">
        <v>42</v>
      </c>
      <c r="Y19" s="2"/>
      <c r="Z19" s="5" t="s">
        <v>43</v>
      </c>
      <c r="AC19" s="6"/>
      <c r="AF19" s="2"/>
      <c r="AM19" s="2"/>
    </row>
    <row r="20" spans="1:45" ht="31.2" x14ac:dyDescent="0.6">
      <c r="B20" s="4" t="s">
        <v>14</v>
      </c>
      <c r="F20" s="4">
        <v>1964.04</v>
      </c>
      <c r="G20" s="4">
        <v>1759.19</v>
      </c>
      <c r="H20" s="4">
        <v>3514.13</v>
      </c>
      <c r="J20" s="4">
        <v>19095.580000000002</v>
      </c>
      <c r="K20" s="4">
        <f>27368.17+255+37900</f>
        <v>65523.17</v>
      </c>
      <c r="L20" s="4">
        <f>34349.92</f>
        <v>34349.919999999998</v>
      </c>
      <c r="M20" s="4">
        <f>22393.37+774.99</f>
        <v>23168.36</v>
      </c>
      <c r="O20">
        <v>2425.73</v>
      </c>
      <c r="P20">
        <v>1708.72</v>
      </c>
      <c r="R20">
        <v>1574.93</v>
      </c>
      <c r="S20">
        <v>1037.51</v>
      </c>
      <c r="T20">
        <v>1405.24</v>
      </c>
      <c r="V20">
        <v>130</v>
      </c>
      <c r="W20">
        <v>185.58</v>
      </c>
      <c r="Y20" s="2"/>
      <c r="AB20" s="8" t="s">
        <v>19</v>
      </c>
      <c r="AC20" s="9">
        <v>342774.22</v>
      </c>
      <c r="AD20" s="8" t="s">
        <v>20</v>
      </c>
      <c r="AF20" s="2"/>
      <c r="AG20" s="5" t="s">
        <v>44</v>
      </c>
      <c r="AJ20" s="6"/>
      <c r="AM20" s="2"/>
      <c r="AN20" s="5" t="s">
        <v>45</v>
      </c>
      <c r="AQ20" s="6"/>
    </row>
    <row r="21" spans="1:45" ht="31.2" x14ac:dyDescent="0.6">
      <c r="B21" s="7" t="s">
        <v>18</v>
      </c>
      <c r="J21" s="7">
        <f>477.75+35.55</f>
        <v>513.29999999999995</v>
      </c>
      <c r="K21" s="7">
        <f>22.58+392.98</f>
        <v>415.56</v>
      </c>
      <c r="L21" s="7">
        <f>29.01+311.44+131.37</f>
        <v>471.82</v>
      </c>
      <c r="M21" s="7">
        <f>29+333.33</f>
        <v>362.33</v>
      </c>
      <c r="O21">
        <v>1367.84</v>
      </c>
      <c r="P21">
        <v>809.96</v>
      </c>
      <c r="R21">
        <v>69.55</v>
      </c>
      <c r="V21">
        <v>258.33999999999997</v>
      </c>
      <c r="W21">
        <v>102.8</v>
      </c>
      <c r="Y21" s="2"/>
      <c r="AC21" s="6"/>
      <c r="AF21" s="2"/>
      <c r="AI21" s="8" t="s">
        <v>19</v>
      </c>
      <c r="AJ21" s="9">
        <v>378899.79</v>
      </c>
      <c r="AK21" s="8" t="s">
        <v>20</v>
      </c>
      <c r="AM21" s="2"/>
      <c r="AP21" s="8" t="s">
        <v>19</v>
      </c>
      <c r="AQ21" s="9">
        <f>226770.98*0.9514</f>
        <v>215749.91037200001</v>
      </c>
      <c r="AR21" s="8" t="s">
        <v>20</v>
      </c>
    </row>
    <row r="22" spans="1:45" ht="31.2" x14ac:dyDescent="0.6">
      <c r="O22">
        <v>1163.8900000000001</v>
      </c>
      <c r="P22">
        <v>711.19</v>
      </c>
      <c r="R22">
        <v>352.68</v>
      </c>
      <c r="V22">
        <v>198</v>
      </c>
      <c r="W22">
        <v>120</v>
      </c>
      <c r="Y22" s="2"/>
      <c r="AB22" s="8" t="s">
        <v>21</v>
      </c>
      <c r="AC22" s="9">
        <f>5892.16*3.1</f>
        <v>18265.696</v>
      </c>
      <c r="AD22" s="8" t="s">
        <v>20</v>
      </c>
      <c r="AF22" s="2"/>
      <c r="AJ22" s="6"/>
      <c r="AM22" s="2"/>
      <c r="AQ22" s="6"/>
    </row>
    <row r="23" spans="1:45" ht="31.2" x14ac:dyDescent="0.6">
      <c r="O23">
        <v>2871.02</v>
      </c>
      <c r="P23">
        <v>1489.71</v>
      </c>
      <c r="R23" s="4">
        <f>SUM(Tableau1184[08-nov])</f>
        <v>1997.16</v>
      </c>
      <c r="S23" s="4">
        <f>SUM(Tableau1285[15-nov])</f>
        <v>1037.51</v>
      </c>
      <c r="T23" s="4">
        <f>SUM(Tableau1285[30-nov])</f>
        <v>1405.24</v>
      </c>
      <c r="V23">
        <v>240</v>
      </c>
      <c r="W23">
        <v>123.29</v>
      </c>
      <c r="Y23" s="2"/>
      <c r="AC23" s="6"/>
      <c r="AF23" s="2"/>
      <c r="AI23" s="8" t="s">
        <v>21</v>
      </c>
      <c r="AJ23" s="9">
        <f>5945.23*3.1</f>
        <v>18430.213</v>
      </c>
      <c r="AK23" s="8" t="s">
        <v>20</v>
      </c>
      <c r="AM23" s="2"/>
      <c r="AP23" s="8" t="s">
        <v>21</v>
      </c>
      <c r="AQ23" s="10">
        <f>226770.98*0.04262</f>
        <v>9664.9791676000004</v>
      </c>
      <c r="AR23" s="8" t="s">
        <v>20</v>
      </c>
    </row>
    <row r="24" spans="1:45" ht="31.2" x14ac:dyDescent="0.6">
      <c r="O24" s="4">
        <f>SUM(Tableau1386[02-nov])</f>
        <v>7828.48</v>
      </c>
      <c r="P24" s="4">
        <f>SUM(Tableau1386[16-nov])</f>
        <v>4719.58</v>
      </c>
      <c r="V24">
        <v>131</v>
      </c>
      <c r="W24">
        <v>185</v>
      </c>
      <c r="Y24" s="2"/>
      <c r="AB24" s="8" t="s">
        <v>22</v>
      </c>
      <c r="AC24" s="9">
        <f>(104.64+169.96+388.02+118.3+133)*2.7</f>
        <v>2467.5839999999998</v>
      </c>
      <c r="AD24" s="8" t="s">
        <v>20</v>
      </c>
      <c r="AF24" s="2"/>
      <c r="AJ24" s="6"/>
      <c r="AM24" s="2"/>
      <c r="AQ24" s="6"/>
    </row>
    <row r="25" spans="1:45" ht="31.2" x14ac:dyDescent="0.6">
      <c r="V25">
        <v>140.35</v>
      </c>
      <c r="W25">
        <v>178</v>
      </c>
      <c r="Y25" s="2"/>
      <c r="AF25" s="2"/>
      <c r="AI25" s="8" t="s">
        <v>22</v>
      </c>
      <c r="AJ25" s="9">
        <f>(123+256+143+178+84)*2.7</f>
        <v>2116.8000000000002</v>
      </c>
      <c r="AK25" s="8" t="s">
        <v>20</v>
      </c>
      <c r="AM25" s="2"/>
      <c r="AP25" s="8" t="s">
        <v>22</v>
      </c>
      <c r="AQ25" s="9">
        <f>226770.98*0.00598</f>
        <v>1356.0904604</v>
      </c>
      <c r="AR25" s="8" t="s">
        <v>20</v>
      </c>
    </row>
    <row r="26" spans="1:45" ht="18" x14ac:dyDescent="0.35">
      <c r="B26" s="4" t="s">
        <v>23</v>
      </c>
      <c r="C26" cm="1">
        <f t="array" ref="C26">Tableau1487[10-nov]+Tableau1487[20-nov]+Tableau1487[30-nov]+V30+W30+Tableau1386[[#Totals],[02-nov]]+Tableau1386[[#Totals],[16-nov]]+Tableau1184[[#Totals],[08-nov]]+S23+T23+J20+K20+L20+M20</f>
        <v>169054.83999999997</v>
      </c>
      <c r="D26" t="s">
        <v>24</v>
      </c>
      <c r="F26" s="11" t="s">
        <v>25</v>
      </c>
      <c r="V26">
        <v>81.56</v>
      </c>
      <c r="W26">
        <v>118.44</v>
      </c>
      <c r="Y26" s="2"/>
      <c r="AA26" s="12"/>
      <c r="AF26" s="2"/>
      <c r="AM26" s="2"/>
    </row>
    <row r="27" spans="1:45" ht="36.6" x14ac:dyDescent="0.7">
      <c r="B27" s="7" t="s">
        <v>26</v>
      </c>
      <c r="C27">
        <f>J21+K21+L21+M21</f>
        <v>1763.0099999999998</v>
      </c>
      <c r="D27" t="s">
        <v>24</v>
      </c>
      <c r="W27">
        <v>267.14</v>
      </c>
      <c r="Y27" s="2"/>
      <c r="AB27" s="17" t="s">
        <v>30</v>
      </c>
      <c r="AC27" s="18">
        <f>AC20+AC22+AC24</f>
        <v>363507.49999999994</v>
      </c>
      <c r="AD27" s="17" t="s">
        <v>20</v>
      </c>
      <c r="AF27" s="2"/>
      <c r="AM27" s="2"/>
    </row>
    <row r="28" spans="1:45" ht="36.6" x14ac:dyDescent="0.7">
      <c r="G28" s="13" t="s">
        <v>27</v>
      </c>
      <c r="H28" s="13">
        <f>H31*0.951087</f>
        <v>502963.46280239697</v>
      </c>
      <c r="I28" s="13" t="s">
        <v>28</v>
      </c>
      <c r="K28" s="14">
        <f>C26*3.1</f>
        <v>524070.0039999999</v>
      </c>
      <c r="M28" s="15" t="s">
        <v>29</v>
      </c>
      <c r="N28" s="15"/>
      <c r="O28" s="16">
        <f>H31*0.1865</f>
        <v>98626.819431499986</v>
      </c>
      <c r="P28" s="15" t="s">
        <v>20</v>
      </c>
      <c r="W28">
        <v>118.98</v>
      </c>
      <c r="Y28" s="2"/>
      <c r="AF28" s="2"/>
      <c r="AM28" s="2"/>
      <c r="AP28" s="17" t="s">
        <v>30</v>
      </c>
      <c r="AQ28" s="18">
        <f>AQ21+AQ23+AQ25</f>
        <v>226770.98</v>
      </c>
      <c r="AR28" s="17" t="s">
        <v>20</v>
      </c>
    </row>
    <row r="29" spans="1:45" ht="36.6" x14ac:dyDescent="0.7">
      <c r="G29" s="13" t="s">
        <v>31</v>
      </c>
      <c r="H29" s="13">
        <f>0.042933*H31</f>
        <v>22704.264014222998</v>
      </c>
      <c r="I29" s="13" t="s">
        <v>28</v>
      </c>
      <c r="K29" s="14">
        <f>C27*2.7</f>
        <v>4760.1269999999995</v>
      </c>
      <c r="M29" s="15" t="s">
        <v>32</v>
      </c>
      <c r="N29" s="15"/>
      <c r="O29" s="16">
        <f>H31*(1-0.1865)</f>
        <v>430203.31156849995</v>
      </c>
      <c r="P29" s="15" t="s">
        <v>20</v>
      </c>
      <c r="W29">
        <v>114</v>
      </c>
      <c r="Y29" s="2"/>
      <c r="AF29" s="2"/>
      <c r="AI29" s="17" t="s">
        <v>30</v>
      </c>
      <c r="AJ29" s="18">
        <f>AJ21+AJ23+AJ25</f>
        <v>399446.80299999996</v>
      </c>
      <c r="AK29" s="17" t="s">
        <v>20</v>
      </c>
      <c r="AM29" s="2"/>
    </row>
    <row r="30" spans="1:45" x14ac:dyDescent="0.3">
      <c r="G30" s="13" t="s">
        <v>33</v>
      </c>
      <c r="H30" s="13">
        <f>0.00598*H31</f>
        <v>3162.4041833799997</v>
      </c>
      <c r="I30" s="13" t="s">
        <v>28</v>
      </c>
      <c r="V30" s="4">
        <f>SUM(V20:V29)</f>
        <v>1179.2499999999998</v>
      </c>
      <c r="W30" s="4">
        <f>SUM(W20:W29)</f>
        <v>1513.23</v>
      </c>
      <c r="Y30" s="2"/>
      <c r="AF30" s="2"/>
      <c r="AM30" s="2"/>
    </row>
    <row r="31" spans="1:45" ht="15.6" x14ac:dyDescent="0.3">
      <c r="G31" s="20" t="s">
        <v>4</v>
      </c>
      <c r="H31" s="21">
        <f>K28+K29</f>
        <v>528830.13099999994</v>
      </c>
      <c r="I31" s="20" t="s">
        <v>28</v>
      </c>
      <c r="Y31" s="2"/>
      <c r="AF31" s="2"/>
      <c r="AM31" s="2"/>
    </row>
    <row r="32" spans="1:45" x14ac:dyDescent="0.3">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row>
    <row r="33" spans="1:44" ht="15.6" x14ac:dyDescent="0.3">
      <c r="A33" s="1" t="s">
        <v>46</v>
      </c>
      <c r="Y33" s="2"/>
      <c r="AF33" s="2"/>
      <c r="AM33" s="2"/>
    </row>
    <row r="34" spans="1:44" ht="18" x14ac:dyDescent="0.35">
      <c r="F34" s="1" t="s">
        <v>1</v>
      </c>
      <c r="G34" s="1"/>
      <c r="H34" s="1"/>
      <c r="I34" s="1"/>
      <c r="M34" s="1"/>
      <c r="O34" s="1" t="s">
        <v>3</v>
      </c>
      <c r="P34" s="1"/>
      <c r="Q34" s="1" t="s">
        <v>4</v>
      </c>
      <c r="R34" s="1"/>
      <c r="S34" s="1"/>
      <c r="T34" s="1" t="s">
        <v>2</v>
      </c>
      <c r="U34" s="1"/>
      <c r="V34" s="1"/>
      <c r="Y34" s="2"/>
      <c r="Z34" s="5" t="s">
        <v>47</v>
      </c>
      <c r="AC34" s="6"/>
      <c r="AF34" s="2"/>
      <c r="AG34" s="5" t="s">
        <v>48</v>
      </c>
      <c r="AM34" s="2"/>
      <c r="AN34" s="5" t="s">
        <v>49</v>
      </c>
      <c r="AQ34" s="6"/>
    </row>
    <row r="35" spans="1:44" ht="31.2" x14ac:dyDescent="0.6">
      <c r="F35" s="3" t="s">
        <v>50</v>
      </c>
      <c r="G35" s="3" t="s">
        <v>51</v>
      </c>
      <c r="H35" s="3" t="s">
        <v>52</v>
      </c>
      <c r="J35" s="1" t="s">
        <v>5</v>
      </c>
      <c r="K35" s="1"/>
      <c r="L35" s="1"/>
      <c r="M35" s="1"/>
      <c r="O35" s="3" t="s">
        <v>53</v>
      </c>
      <c r="Q35" s="3" t="s">
        <v>54</v>
      </c>
      <c r="R35" s="3" t="s">
        <v>55</v>
      </c>
      <c r="T35" s="3" t="s">
        <v>56</v>
      </c>
      <c r="U35" s="3" t="s">
        <v>57</v>
      </c>
      <c r="V35" s="3" t="s">
        <v>52</v>
      </c>
      <c r="Y35" s="2"/>
      <c r="AB35" s="8" t="s">
        <v>19</v>
      </c>
      <c r="AC35" s="9">
        <v>357672.2</v>
      </c>
      <c r="AD35" s="8" t="s">
        <v>20</v>
      </c>
      <c r="AF35" s="2"/>
      <c r="AI35" s="8" t="s">
        <v>58</v>
      </c>
      <c r="AJ35" s="9">
        <v>423634.96</v>
      </c>
      <c r="AK35" s="8" t="s">
        <v>20</v>
      </c>
      <c r="AM35" s="2"/>
      <c r="AP35" s="8" t="s">
        <v>19</v>
      </c>
      <c r="AQ35" s="9">
        <f>536798.64*0.9514</f>
        <v>510710.226096</v>
      </c>
      <c r="AR35" s="8" t="s">
        <v>20</v>
      </c>
    </row>
    <row r="36" spans="1:44" x14ac:dyDescent="0.3">
      <c r="F36" s="4">
        <v>7510.32</v>
      </c>
      <c r="G36" s="4">
        <v>6693.01</v>
      </c>
      <c r="H36" s="4">
        <v>424.64</v>
      </c>
      <c r="J36" s="3" t="s">
        <v>59</v>
      </c>
      <c r="K36" s="3" t="s">
        <v>54</v>
      </c>
      <c r="L36" s="3" t="s">
        <v>60</v>
      </c>
      <c r="M36" s="3" t="s">
        <v>55</v>
      </c>
      <c r="O36">
        <v>181</v>
      </c>
      <c r="Q36" s="4">
        <v>1199.26</v>
      </c>
      <c r="R36" s="4">
        <v>371.24</v>
      </c>
      <c r="T36">
        <v>128.03</v>
      </c>
      <c r="U36">
        <v>190</v>
      </c>
      <c r="V36">
        <v>214</v>
      </c>
      <c r="Y36" s="2"/>
      <c r="AC36" s="6"/>
      <c r="AF36" s="2"/>
      <c r="AJ36" s="6"/>
      <c r="AM36" s="2"/>
      <c r="AQ36" s="6"/>
    </row>
    <row r="37" spans="1:44" ht="31.2" x14ac:dyDescent="0.6">
      <c r="J37" s="4">
        <f>48865.63+72.47</f>
        <v>48938.1</v>
      </c>
      <c r="K37" s="4">
        <f>24517.18+1011.99</f>
        <v>25529.170000000002</v>
      </c>
      <c r="L37" s="4">
        <v>27648.45</v>
      </c>
      <c r="M37" s="4">
        <v>6414.64</v>
      </c>
      <c r="O37">
        <v>490.07</v>
      </c>
      <c r="Q37" s="7">
        <v>36.47</v>
      </c>
      <c r="T37">
        <v>200</v>
      </c>
      <c r="U37">
        <v>57.45</v>
      </c>
      <c r="V37">
        <v>240</v>
      </c>
      <c r="Y37" s="2"/>
      <c r="AB37" s="8" t="s">
        <v>21</v>
      </c>
      <c r="AC37" s="9">
        <f>5021.29*3.1</f>
        <v>15565.999</v>
      </c>
      <c r="AD37" s="8" t="s">
        <v>20</v>
      </c>
      <c r="AF37" s="2"/>
      <c r="AI37" s="8" t="s">
        <v>61</v>
      </c>
      <c r="AJ37" s="9">
        <v>17992.93</v>
      </c>
      <c r="AK37" s="8" t="s">
        <v>20</v>
      </c>
      <c r="AM37" s="2"/>
      <c r="AP37" s="8" t="s">
        <v>21</v>
      </c>
      <c r="AQ37" s="10">
        <f>536798.64*0.04262</f>
        <v>22878.3580368</v>
      </c>
      <c r="AR37" s="8" t="s">
        <v>20</v>
      </c>
    </row>
    <row r="38" spans="1:44" x14ac:dyDescent="0.3">
      <c r="J38" s="7">
        <f>90.52+430.22</f>
        <v>520.74</v>
      </c>
      <c r="K38" s="7">
        <f>53.82+295.07+73.91</f>
        <v>422.79999999999995</v>
      </c>
      <c r="L38" s="7">
        <f>222.3+25.65</f>
        <v>247.95000000000002</v>
      </c>
      <c r="M38" s="7">
        <f>107.44+37.01+90.47</f>
        <v>234.92</v>
      </c>
      <c r="O38">
        <v>207.18</v>
      </c>
      <c r="T38">
        <v>240.4</v>
      </c>
      <c r="U38">
        <v>77.91</v>
      </c>
      <c r="V38">
        <v>57</v>
      </c>
      <c r="Y38" s="2"/>
      <c r="AC38" s="6"/>
      <c r="AF38" s="2"/>
      <c r="AJ38" s="6"/>
      <c r="AM38" s="2"/>
      <c r="AQ38" s="6"/>
    </row>
    <row r="39" spans="1:44" ht="31.2" x14ac:dyDescent="0.6">
      <c r="O39" s="4">
        <f>SUM(O36:O38)</f>
        <v>878.25</v>
      </c>
      <c r="T39">
        <v>128</v>
      </c>
      <c r="U39">
        <v>229</v>
      </c>
      <c r="V39">
        <v>127</v>
      </c>
      <c r="Y39" s="2"/>
      <c r="AB39" s="8" t="s">
        <v>22</v>
      </c>
      <c r="AC39" s="9">
        <f>(157+76+401.5+270.67+99.25)*2.7</f>
        <v>2711.9340000000002</v>
      </c>
      <c r="AD39" s="8" t="s">
        <v>20</v>
      </c>
      <c r="AF39" s="2"/>
      <c r="AI39" s="8" t="s">
        <v>62</v>
      </c>
      <c r="AJ39" s="9">
        <v>2357.1799999999998</v>
      </c>
      <c r="AK39" s="8" t="s">
        <v>20</v>
      </c>
      <c r="AM39" s="2"/>
      <c r="AP39" s="8" t="s">
        <v>22</v>
      </c>
      <c r="AQ39" s="9">
        <f>536798.64*0.00598</f>
        <v>3210.0558672000002</v>
      </c>
      <c r="AR39" s="8" t="s">
        <v>20</v>
      </c>
    </row>
    <row r="40" spans="1:44" x14ac:dyDescent="0.3">
      <c r="T40">
        <v>128.06</v>
      </c>
      <c r="U40">
        <v>132</v>
      </c>
      <c r="V40">
        <v>58.45</v>
      </c>
      <c r="Y40" s="2"/>
      <c r="AF40" s="2"/>
      <c r="AM40" s="2"/>
    </row>
    <row r="41" spans="1:44" x14ac:dyDescent="0.3">
      <c r="T41">
        <v>196</v>
      </c>
      <c r="U41">
        <v>60.7</v>
      </c>
      <c r="V41">
        <v>70.02</v>
      </c>
      <c r="Y41" s="2"/>
      <c r="AF41" s="2"/>
      <c r="AM41" s="2"/>
    </row>
    <row r="42" spans="1:44" x14ac:dyDescent="0.3">
      <c r="T42">
        <v>220</v>
      </c>
      <c r="U42">
        <v>234.83</v>
      </c>
      <c r="V42">
        <v>184.83</v>
      </c>
      <c r="Y42" s="2"/>
      <c r="AF42" s="2"/>
      <c r="AM42" s="2"/>
    </row>
    <row r="43" spans="1:44" x14ac:dyDescent="0.3">
      <c r="T43">
        <v>242</v>
      </c>
      <c r="U43">
        <v>183.09</v>
      </c>
      <c r="V43">
        <v>180</v>
      </c>
      <c r="Y43" s="2"/>
      <c r="AF43" s="2"/>
      <c r="AM43" s="2"/>
    </row>
    <row r="44" spans="1:44" ht="36.6" x14ac:dyDescent="0.7">
      <c r="T44">
        <v>52</v>
      </c>
      <c r="U44">
        <v>83.9</v>
      </c>
      <c r="V44">
        <v>198.51</v>
      </c>
      <c r="Y44" s="2"/>
      <c r="AB44" s="17" t="s">
        <v>30</v>
      </c>
      <c r="AC44" s="18">
        <f>AC37+AC39+AC35</f>
        <v>375950.13300000003</v>
      </c>
      <c r="AD44" s="17" t="s">
        <v>20</v>
      </c>
      <c r="AF44" s="2"/>
      <c r="AI44" s="17" t="s">
        <v>30</v>
      </c>
      <c r="AJ44" s="18">
        <f>AJ37+AJ39+AJ35</f>
        <v>443985.07</v>
      </c>
      <c r="AK44" s="17" t="s">
        <v>20</v>
      </c>
      <c r="AM44" s="2"/>
      <c r="AP44" s="17" t="s">
        <v>30</v>
      </c>
      <c r="AQ44" s="18">
        <f>AQ35+AQ37+AQ39</f>
        <v>536798.64</v>
      </c>
      <c r="AR44" s="17" t="s">
        <v>20</v>
      </c>
    </row>
    <row r="45" spans="1:44" ht="18" x14ac:dyDescent="0.35">
      <c r="B45" s="4" t="s">
        <v>23</v>
      </c>
      <c r="C45" cm="1">
        <f t="array" ref="C45">Tableau176879[10-déc]+Tableau176879[20-déc]+Tableau176879[30-déc]+T60+U60+V60+O39+Q36+Tableau207182[31-déc]+J37+K37+L37+M37</f>
        <v>133608.83000000002</v>
      </c>
      <c r="D45" t="s">
        <v>24</v>
      </c>
      <c r="F45" s="11" t="s">
        <v>25</v>
      </c>
      <c r="T45">
        <v>244.5</v>
      </c>
      <c r="U45">
        <v>145.97</v>
      </c>
      <c r="V45">
        <v>214</v>
      </c>
      <c r="Y45" s="2"/>
      <c r="AF45" s="2"/>
      <c r="AM45" s="2"/>
    </row>
    <row r="46" spans="1:44" x14ac:dyDescent="0.3">
      <c r="B46" s="7" t="s">
        <v>26</v>
      </c>
      <c r="C46">
        <f>Q37+J38+K38+L38+M38</f>
        <v>1462.88</v>
      </c>
      <c r="D46" t="s">
        <v>24</v>
      </c>
      <c r="T46">
        <v>135</v>
      </c>
      <c r="U46">
        <v>55.1</v>
      </c>
      <c r="V46">
        <v>55.23</v>
      </c>
      <c r="Y46" s="2"/>
      <c r="AF46" s="2"/>
      <c r="AM46" s="2"/>
    </row>
    <row r="47" spans="1:44" ht="23.4" x14ac:dyDescent="0.45">
      <c r="G47" s="13" t="s">
        <v>27</v>
      </c>
      <c r="H47" s="13">
        <f>0.951087*H50</f>
        <v>397684.80663096311</v>
      </c>
      <c r="I47" s="22" t="s">
        <v>28</v>
      </c>
      <c r="K47" s="14">
        <f>C45*3.1</f>
        <v>414187.37300000008</v>
      </c>
      <c r="M47" s="15" t="s">
        <v>29</v>
      </c>
      <c r="N47" s="15"/>
      <c r="O47" s="16">
        <f>H50*0.1865</f>
        <v>77982.578288500023</v>
      </c>
      <c r="P47" s="15" t="s">
        <v>20</v>
      </c>
      <c r="T47">
        <v>60.87</v>
      </c>
      <c r="U47">
        <v>180</v>
      </c>
      <c r="V47">
        <v>173</v>
      </c>
      <c r="Y47" s="2"/>
      <c r="AF47" s="2"/>
      <c r="AM47" s="2"/>
    </row>
    <row r="48" spans="1:44" ht="23.4" x14ac:dyDescent="0.45">
      <c r="G48" s="13" t="s">
        <v>31</v>
      </c>
      <c r="H48" s="13">
        <f>0.042933*H50</f>
        <v>17951.882218017003</v>
      </c>
      <c r="I48" s="22" t="s">
        <v>28</v>
      </c>
      <c r="K48" s="14">
        <f>C46*2.7</f>
        <v>3949.7760000000007</v>
      </c>
      <c r="M48" s="15" t="s">
        <v>32</v>
      </c>
      <c r="N48" s="15"/>
      <c r="O48" s="16">
        <f>H50*(1-0.1865)</f>
        <v>340154.57071150007</v>
      </c>
      <c r="P48" s="15" t="s">
        <v>20</v>
      </c>
      <c r="T48">
        <v>163.69999999999999</v>
      </c>
      <c r="U48">
        <v>221</v>
      </c>
      <c r="V48">
        <v>103.97</v>
      </c>
      <c r="Y48" s="2"/>
      <c r="AF48" s="2"/>
      <c r="AM48" s="2"/>
    </row>
    <row r="49" spans="1:45" x14ac:dyDescent="0.3">
      <c r="G49" s="13" t="s">
        <v>33</v>
      </c>
      <c r="H49" s="13">
        <f>0.00598*H50</f>
        <v>2500.4601510200005</v>
      </c>
      <c r="I49" s="22" t="s">
        <v>28</v>
      </c>
      <c r="T49">
        <v>227.09</v>
      </c>
      <c r="U49">
        <v>51.94</v>
      </c>
      <c r="V49">
        <v>53.73</v>
      </c>
      <c r="Y49" s="2"/>
      <c r="AF49" s="2"/>
      <c r="AM49" s="2"/>
    </row>
    <row r="50" spans="1:45" ht="15.6" x14ac:dyDescent="0.3">
      <c r="G50" s="20" t="s">
        <v>4</v>
      </c>
      <c r="H50" s="14">
        <f>K47+K48</f>
        <v>418137.14900000009</v>
      </c>
      <c r="I50" s="20" t="s">
        <v>28</v>
      </c>
      <c r="T50">
        <v>182</v>
      </c>
      <c r="U50">
        <v>207</v>
      </c>
      <c r="V50">
        <v>57.72</v>
      </c>
      <c r="Y50" s="2"/>
      <c r="AC50" s="12"/>
      <c r="AF50" s="2"/>
      <c r="AM50" s="2"/>
    </row>
    <row r="51" spans="1:45" x14ac:dyDescent="0.3">
      <c r="T51">
        <v>111.08</v>
      </c>
      <c r="U51">
        <v>115.16</v>
      </c>
      <c r="Y51" s="2"/>
      <c r="AF51" s="2"/>
      <c r="AM51" s="2"/>
    </row>
    <row r="52" spans="1:45" x14ac:dyDescent="0.3">
      <c r="U52">
        <v>145</v>
      </c>
      <c r="Y52" s="2"/>
      <c r="AC52" s="12">
        <f>H12+H29+H48+AC6+AC22+AC37+AJ6+AJ23+AJ37+AQ6+AQ23+AQ37</f>
        <v>192166.36045847597</v>
      </c>
      <c r="AF52" s="2"/>
      <c r="AM52" s="2"/>
    </row>
    <row r="53" spans="1:45" x14ac:dyDescent="0.3">
      <c r="U53">
        <v>51</v>
      </c>
      <c r="Y53" s="2"/>
      <c r="AC53" s="12"/>
      <c r="AF53" s="2"/>
      <c r="AM53" s="2"/>
    </row>
    <row r="54" spans="1:45" x14ac:dyDescent="0.3">
      <c r="U54">
        <v>163</v>
      </c>
      <c r="Y54" s="2"/>
      <c r="AC54" s="12">
        <f>H13+H30+H49+AC8+AC24+AC39+AJ8+AJ25+AJ39+AQ8+AQ25+AQ39</f>
        <v>27983.33953216</v>
      </c>
      <c r="AF54" s="2"/>
      <c r="AM54" s="2"/>
    </row>
    <row r="55" spans="1:45" x14ac:dyDescent="0.3">
      <c r="U55">
        <v>219.75</v>
      </c>
      <c r="Y55" s="2"/>
      <c r="AF55" s="2"/>
      <c r="AH55">
        <f>(AC39+AC8+AC24+H13+H30+H49)/2.7</f>
        <v>5028.5948905777777</v>
      </c>
      <c r="AJ55" s="12"/>
      <c r="AM55" s="2"/>
    </row>
    <row r="56" spans="1:45" x14ac:dyDescent="0.3">
      <c r="U56">
        <v>223.3</v>
      </c>
      <c r="Y56" s="2"/>
      <c r="AF56" s="2"/>
      <c r="AM56" s="2"/>
    </row>
    <row r="57" spans="1:45" x14ac:dyDescent="0.3">
      <c r="U57">
        <v>57.8</v>
      </c>
      <c r="Y57" s="2"/>
      <c r="AF57" s="2"/>
      <c r="AM57" s="2"/>
    </row>
    <row r="58" spans="1:45" x14ac:dyDescent="0.3">
      <c r="U58">
        <v>183</v>
      </c>
      <c r="Y58" s="2"/>
      <c r="AF58" s="2"/>
      <c r="AM58" s="2"/>
    </row>
    <row r="59" spans="1:45" x14ac:dyDescent="0.3">
      <c r="U59">
        <v>87.66</v>
      </c>
      <c r="Y59" s="2"/>
      <c r="AF59" s="2"/>
      <c r="AM59" s="2"/>
    </row>
    <row r="60" spans="1:45" x14ac:dyDescent="0.3">
      <c r="T60" s="4">
        <f>SUM(T36:T59)</f>
        <v>2658.73</v>
      </c>
      <c r="U60" s="4">
        <f t="shared" ref="U60:V60" si="0">SUM(U36:U59)</f>
        <v>3355.5600000000004</v>
      </c>
      <c r="V60" s="4">
        <f t="shared" si="0"/>
        <v>1987.4600000000003</v>
      </c>
      <c r="Y60" s="2"/>
      <c r="AF60" s="2"/>
      <c r="AM60" s="2"/>
    </row>
    <row r="61" spans="1:45" x14ac:dyDescent="0.3">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row>
    <row r="62" spans="1:45" ht="15.6" x14ac:dyDescent="0.3">
      <c r="A62" s="1"/>
      <c r="Y62" s="2"/>
      <c r="AF62" s="2"/>
      <c r="AM62" s="2"/>
    </row>
    <row r="63" spans="1:45" x14ac:dyDescent="0.3">
      <c r="Y63" s="2"/>
      <c r="AF63" s="2"/>
      <c r="AM63" s="2"/>
    </row>
    <row r="64" spans="1:45" ht="61.2" x14ac:dyDescent="1.1000000000000001">
      <c r="I64" s="23">
        <f>O12+O29+O48+1440121.15+343802.52</f>
        <v>2804826.611122</v>
      </c>
      <c r="J64" s="24" t="s">
        <v>20</v>
      </c>
      <c r="Y64" s="2"/>
      <c r="AA64" s="25"/>
      <c r="AB64" s="25"/>
      <c r="AC64" s="26">
        <f>AQ64+AQ67</f>
        <v>220321.6283286</v>
      </c>
      <c r="AD64" s="27" t="s">
        <v>63</v>
      </c>
      <c r="AE64" s="25"/>
      <c r="AF64" s="28"/>
      <c r="AG64" s="25"/>
      <c r="AH64" s="25"/>
      <c r="AJ64" s="26">
        <f>AC4+AC20+AC35+AJ4+AJ21+AJ35+AQ35+AQ21+AQ4</f>
        <v>3194567.376468</v>
      </c>
      <c r="AK64" s="27" t="s">
        <v>63</v>
      </c>
      <c r="AM64" s="2"/>
      <c r="AQ64" s="26">
        <f>AC6+AC8+AC22+AC24+AC37+AC39+AJ6+AJ8+AJ23+AJ25+AJ37+AJ39+AQ6+AQ8+AQ23+AQ25+AQ37+AQ39</f>
        <v>158766.26353199998</v>
      </c>
      <c r="AR64" s="27" t="s">
        <v>63</v>
      </c>
    </row>
    <row r="65" spans="9:44" x14ac:dyDescent="0.3">
      <c r="Y65" s="2"/>
      <c r="AA65" s="25"/>
      <c r="AB65" s="25"/>
      <c r="AC65" s="25"/>
      <c r="AD65" s="25"/>
      <c r="AE65" s="25"/>
      <c r="AF65" s="28"/>
      <c r="AG65" s="25"/>
      <c r="AH65" s="25"/>
      <c r="AM65" s="2"/>
    </row>
    <row r="66" spans="9:44" x14ac:dyDescent="0.3">
      <c r="Y66" s="2"/>
      <c r="AA66" s="25"/>
      <c r="AB66" s="25"/>
      <c r="AC66" s="25"/>
      <c r="AD66" s="25"/>
      <c r="AE66" s="25"/>
      <c r="AF66" s="28"/>
      <c r="AG66" s="25"/>
      <c r="AH66" s="25"/>
      <c r="AM66" s="2"/>
    </row>
    <row r="67" spans="9:44" ht="61.2" x14ac:dyDescent="1.1000000000000001">
      <c r="R67">
        <f>(AC4+AC20+AC35+H47+H28+H11+AQ4+AQ21+AQ35+AJ35+AJ21+AJ4)/3.1</f>
        <v>1415527.5200030208</v>
      </c>
      <c r="Y67" s="2"/>
      <c r="AA67" s="25"/>
      <c r="AB67" s="25"/>
      <c r="AC67" s="25"/>
      <c r="AD67" s="25"/>
      <c r="AE67" s="25"/>
      <c r="AF67" s="28"/>
      <c r="AG67" s="25"/>
      <c r="AH67" s="25"/>
      <c r="AM67" s="2"/>
      <c r="AQ67" s="26">
        <f>(H14+H31+H50)*(4.905/100)</f>
        <v>61555.364796600006</v>
      </c>
      <c r="AR67" s="27" t="s">
        <v>63</v>
      </c>
    </row>
    <row r="68" spans="9:44" ht="61.2" x14ac:dyDescent="1.1000000000000001">
      <c r="Q68" s="12"/>
      <c r="Y68" s="2"/>
      <c r="AA68" s="25"/>
      <c r="AB68" s="25"/>
      <c r="AC68" s="26">
        <f>AJ64+AJ68</f>
        <v>4387963.3836714001</v>
      </c>
      <c r="AD68" s="27" t="s">
        <v>63</v>
      </c>
      <c r="AE68" s="25"/>
      <c r="AF68" s="28"/>
      <c r="AG68" s="25"/>
      <c r="AH68" s="25"/>
      <c r="AJ68" s="26">
        <f>(H14+H31+H50)*(95.095/100)</f>
        <v>1193396.0072033999</v>
      </c>
      <c r="AK68" s="27" t="s">
        <v>63</v>
      </c>
      <c r="AM68" s="2"/>
    </row>
    <row r="69" spans="9:44" ht="23.4" x14ac:dyDescent="0.45">
      <c r="I69" s="23">
        <f>O47+O28+O11+326026.32+79832.44</f>
        <v>639907.19087800011</v>
      </c>
      <c r="J69" s="24" t="s">
        <v>20</v>
      </c>
      <c r="Y69" s="2"/>
      <c r="AA69" s="25"/>
      <c r="AB69" s="25"/>
      <c r="AC69" s="25"/>
      <c r="AD69" s="25"/>
      <c r="AE69" s="25"/>
      <c r="AF69" s="28"/>
      <c r="AG69" s="25"/>
      <c r="AH69" s="25"/>
      <c r="AM69" s="2"/>
    </row>
    <row r="70" spans="9:44" x14ac:dyDescent="0.3">
      <c r="Y70" s="2"/>
      <c r="AA70" s="25"/>
      <c r="AB70" s="25"/>
      <c r="AC70" s="25"/>
      <c r="AD70" s="25"/>
      <c r="AE70" s="25"/>
      <c r="AF70" s="28"/>
      <c r="AG70" s="25"/>
      <c r="AH70" s="25"/>
      <c r="AM70" s="2"/>
    </row>
    <row r="71" spans="9:44" ht="61.2" x14ac:dyDescent="1.1000000000000001">
      <c r="Y71" s="2"/>
      <c r="AA71" s="25"/>
      <c r="AB71" s="25"/>
      <c r="AC71" s="26">
        <f>H14+H31+H50+AC11+AC27+AC44+AJ11+AJ29+AJ44+AQ44+AQ28+AQ11</f>
        <v>4608285.0120000001</v>
      </c>
      <c r="AD71" s="27" t="s">
        <v>20</v>
      </c>
      <c r="AE71" s="25"/>
      <c r="AF71" s="28"/>
      <c r="AG71" s="25"/>
      <c r="AH71" s="25"/>
      <c r="AM71" s="2"/>
    </row>
    <row r="72" spans="9:44" x14ac:dyDescent="0.3">
      <c r="Y72" s="2"/>
      <c r="AA72" s="25"/>
      <c r="AB72" s="25"/>
      <c r="AC72" s="25"/>
      <c r="AD72" s="25"/>
      <c r="AE72" s="25"/>
      <c r="AF72" s="28"/>
      <c r="AG72" s="25"/>
      <c r="AH72" s="25"/>
      <c r="AM72" s="2"/>
    </row>
    <row r="73" spans="9:44" x14ac:dyDescent="0.3">
      <c r="Y73" s="2"/>
      <c r="AA73" s="25"/>
      <c r="AB73" s="25"/>
      <c r="AC73" s="25"/>
      <c r="AD73" s="25"/>
      <c r="AE73" s="25"/>
      <c r="AF73" s="28"/>
      <c r="AG73" s="25"/>
      <c r="AH73" s="25"/>
      <c r="AM73" s="2"/>
    </row>
    <row r="74" spans="9:44" x14ac:dyDescent="0.3">
      <c r="Y74" s="2"/>
      <c r="AA74" s="25"/>
      <c r="AB74" s="25"/>
      <c r="AC74" s="25"/>
      <c r="AD74" s="25"/>
      <c r="AE74" s="25"/>
      <c r="AF74" s="28"/>
      <c r="AG74" s="25"/>
      <c r="AH74" s="25"/>
      <c r="AM74" s="2"/>
    </row>
    <row r="75" spans="9:44" x14ac:dyDescent="0.3">
      <c r="Y75" s="2"/>
      <c r="AA75" s="25"/>
      <c r="AB75" s="25"/>
      <c r="AC75" s="25"/>
      <c r="AD75" s="25"/>
      <c r="AE75" s="25"/>
      <c r="AF75" s="28"/>
      <c r="AG75" s="25"/>
      <c r="AH75" s="25"/>
      <c r="AM75" s="2"/>
    </row>
  </sheetData>
  <pageMargins left="0.7" right="0.7" top="0.75" bottom="0.75" header="0.3" footer="0.3"/>
  <drawing r:id="rId1"/>
  <tableParts count="17">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82EAA-66AC-48D5-A466-A177FF213CB0}">
  <sheetPr codeName="Feuil3"/>
  <dimension ref="A1:CG89"/>
  <sheetViews>
    <sheetView topLeftCell="U43" zoomScale="69" workbookViewId="0">
      <selection activeCell="Z73" sqref="Z73"/>
    </sheetView>
  </sheetViews>
  <sheetFormatPr baseColWidth="10" defaultRowHeight="14.4" x14ac:dyDescent="0.3"/>
  <cols>
    <col min="6" max="6" width="16.5546875" bestFit="1" customWidth="1"/>
    <col min="64" max="64" width="27.21875" bestFit="1" customWidth="1"/>
  </cols>
  <sheetData>
    <row r="1" spans="1:85" ht="18" x14ac:dyDescent="0.35">
      <c r="A1" s="45" t="s">
        <v>15</v>
      </c>
      <c r="P1" s="2"/>
      <c r="Q1" s="5" t="s">
        <v>44</v>
      </c>
      <c r="T1" s="1" t="s">
        <v>1</v>
      </c>
      <c r="U1" s="1"/>
      <c r="V1" s="1"/>
      <c r="W1" s="1"/>
      <c r="X1" s="1" t="s">
        <v>3</v>
      </c>
      <c r="Y1" s="1"/>
      <c r="Z1" s="1"/>
      <c r="AA1" s="1" t="s">
        <v>4</v>
      </c>
      <c r="AB1" s="1"/>
      <c r="AC1" s="1"/>
      <c r="AD1" s="1" t="s">
        <v>5</v>
      </c>
      <c r="AH1" s="2"/>
      <c r="AI1" s="1" t="s">
        <v>49</v>
      </c>
      <c r="AL1" s="46" t="s">
        <v>1</v>
      </c>
      <c r="AM1" s="46"/>
      <c r="AN1" s="46"/>
      <c r="AO1" s="46"/>
      <c r="AP1" s="46" t="s">
        <v>2</v>
      </c>
      <c r="AQ1" s="46"/>
      <c r="AR1" s="46" t="s">
        <v>3</v>
      </c>
      <c r="AS1" s="46"/>
      <c r="AT1" s="46"/>
      <c r="AU1" s="46" t="s">
        <v>4</v>
      </c>
      <c r="AV1" s="46"/>
      <c r="AW1" s="46"/>
      <c r="AX1" s="46" t="s">
        <v>5</v>
      </c>
      <c r="BG1" s="2"/>
      <c r="BO1" s="2"/>
      <c r="BP1" s="47"/>
      <c r="BQ1" s="47"/>
      <c r="BR1" s="47"/>
      <c r="BS1" s="47"/>
      <c r="BT1" s="47"/>
      <c r="BU1" s="47"/>
      <c r="BV1" s="47"/>
      <c r="BW1" s="47"/>
      <c r="BX1" s="47"/>
      <c r="BY1" s="47"/>
      <c r="BZ1" s="47"/>
      <c r="CA1" s="47"/>
      <c r="CB1" s="47"/>
      <c r="CC1" s="47"/>
      <c r="CD1" s="47"/>
      <c r="CE1" s="47"/>
      <c r="CF1" s="47"/>
      <c r="CG1" s="47"/>
    </row>
    <row r="2" spans="1:85" ht="36.6" x14ac:dyDescent="0.7">
      <c r="C2" s="1" t="s">
        <v>1</v>
      </c>
      <c r="G2" s="1" t="s">
        <v>3</v>
      </c>
      <c r="J2" s="1" t="s">
        <v>4</v>
      </c>
      <c r="M2" s="48" t="s">
        <v>5</v>
      </c>
      <c r="P2" s="2"/>
      <c r="T2" s="3">
        <v>45422</v>
      </c>
      <c r="U2" s="49">
        <v>45432</v>
      </c>
      <c r="V2" s="49">
        <v>45443</v>
      </c>
      <c r="W2" s="25"/>
      <c r="X2" s="49">
        <v>45427</v>
      </c>
      <c r="Y2" s="49">
        <v>45443</v>
      </c>
      <c r="Z2" s="25"/>
      <c r="AA2" s="49">
        <v>45427</v>
      </c>
      <c r="AB2" s="49">
        <v>45443</v>
      </c>
      <c r="AD2" s="3">
        <v>45427</v>
      </c>
      <c r="AE2" s="3">
        <v>45443</v>
      </c>
      <c r="AH2" s="2"/>
      <c r="AL2" s="3">
        <v>45565</v>
      </c>
      <c r="AM2" s="49">
        <v>45555</v>
      </c>
      <c r="AN2" s="49">
        <v>45545</v>
      </c>
      <c r="AO2" s="25"/>
      <c r="AP2" s="49">
        <v>45550</v>
      </c>
      <c r="AQ2" s="25"/>
      <c r="AR2" s="49">
        <v>45550</v>
      </c>
      <c r="AS2" s="49">
        <v>45565</v>
      </c>
      <c r="AT2" s="25"/>
      <c r="AU2" s="49">
        <v>45550</v>
      </c>
      <c r="AV2" s="49">
        <v>45565</v>
      </c>
      <c r="AX2" s="3">
        <v>45550</v>
      </c>
      <c r="AY2" s="49">
        <v>45565</v>
      </c>
      <c r="BG2" s="2"/>
      <c r="BI2" s="50" t="s">
        <v>101</v>
      </c>
      <c r="BO2" s="2"/>
      <c r="BP2" s="47"/>
      <c r="BQ2" s="47"/>
      <c r="BR2" s="47"/>
      <c r="BS2" s="47"/>
      <c r="BT2" s="47"/>
      <c r="BU2" s="47"/>
      <c r="BV2" s="47"/>
      <c r="BW2" s="47"/>
      <c r="BX2" s="47"/>
      <c r="BY2" s="47"/>
      <c r="BZ2" s="47"/>
      <c r="CA2" s="47"/>
      <c r="CB2" s="47"/>
      <c r="CC2" s="47"/>
      <c r="CD2" s="47"/>
      <c r="CE2" s="47"/>
      <c r="CF2" s="47"/>
      <c r="CG2" s="47"/>
    </row>
    <row r="3" spans="1:85" ht="31.2" x14ac:dyDescent="0.6">
      <c r="C3" s="51" t="s">
        <v>102</v>
      </c>
      <c r="D3" s="51" t="s">
        <v>103</v>
      </c>
      <c r="E3" s="51" t="s">
        <v>104</v>
      </c>
      <c r="F3" s="25"/>
      <c r="G3" s="49" t="s">
        <v>105</v>
      </c>
      <c r="H3" s="49" t="s">
        <v>104</v>
      </c>
      <c r="I3" s="25"/>
      <c r="J3" s="49" t="s">
        <v>105</v>
      </c>
      <c r="K3" s="49" t="s">
        <v>104</v>
      </c>
      <c r="L3" s="25"/>
      <c r="M3" s="49" t="s">
        <v>105</v>
      </c>
      <c r="N3" s="3" t="s">
        <v>104</v>
      </c>
      <c r="P3" s="2"/>
      <c r="R3" s="4" t="s">
        <v>14</v>
      </c>
      <c r="T3" s="4">
        <v>1476.75</v>
      </c>
      <c r="U3" s="4">
        <v>3241.56</v>
      </c>
      <c r="V3" s="4">
        <v>4303.99</v>
      </c>
      <c r="W3" s="25"/>
      <c r="X3" s="4">
        <v>3788.02</v>
      </c>
      <c r="Y3" s="4">
        <v>4650.75</v>
      </c>
      <c r="Z3" s="25"/>
      <c r="AA3" s="4">
        <v>321.02999999999997</v>
      </c>
      <c r="AB3" s="4">
        <v>1185.72</v>
      </c>
      <c r="AD3" s="4">
        <f>2262.62+21451.63+339.35</f>
        <v>24053.599999999999</v>
      </c>
      <c r="AE3" s="4">
        <f>434+752.67+2019.87+31736.99+703.89</f>
        <v>35647.42</v>
      </c>
      <c r="AH3" s="2"/>
      <c r="AJ3" s="4" t="s">
        <v>14</v>
      </c>
      <c r="AL3" s="4">
        <v>4537.6000000000004</v>
      </c>
      <c r="AM3" s="4">
        <v>4153.8100000000004</v>
      </c>
      <c r="AN3" s="4">
        <v>2167.75</v>
      </c>
      <c r="AO3" s="25"/>
      <c r="AP3" s="4">
        <v>1073</v>
      </c>
      <c r="AQ3" s="25"/>
      <c r="AR3" s="4">
        <v>3978.52</v>
      </c>
      <c r="AS3" s="4">
        <v>3805.17</v>
      </c>
      <c r="AT3" s="25"/>
      <c r="AU3" s="4">
        <f>422.89+65.98+35.31</f>
        <v>524.18000000000006</v>
      </c>
      <c r="AV3" s="4">
        <f>1533.96+73.19</f>
        <v>1607.15</v>
      </c>
      <c r="AX3" s="4">
        <f>39162.79+716.94</f>
        <v>39879.730000000003</v>
      </c>
      <c r="AY3" s="4">
        <f>33085.06+9158.26</f>
        <v>42243.32</v>
      </c>
      <c r="BG3" s="2"/>
      <c r="BL3" s="52">
        <f>X14+X33+X49+X65+AP68+AP49+AP32+F16+F33+F48+F63+AP14</f>
        <v>3745969.3108000001</v>
      </c>
      <c r="BM3" s="53" t="s">
        <v>69</v>
      </c>
      <c r="BO3" s="2"/>
      <c r="BP3" s="47"/>
      <c r="BQ3" s="47"/>
      <c r="BR3" s="47"/>
      <c r="BS3" s="47"/>
      <c r="BT3" s="47"/>
      <c r="BU3" s="47"/>
      <c r="BV3" s="47"/>
      <c r="BW3" s="47"/>
      <c r="BX3" s="47"/>
      <c r="BY3" s="47"/>
      <c r="BZ3" s="47"/>
      <c r="CA3" s="47"/>
      <c r="CB3" s="47"/>
      <c r="CC3" s="47"/>
      <c r="CD3" s="47"/>
      <c r="CE3" s="47"/>
      <c r="CF3" s="47"/>
      <c r="CG3" s="47"/>
    </row>
    <row r="4" spans="1:85" x14ac:dyDescent="0.3">
      <c r="A4" s="4" t="s">
        <v>14</v>
      </c>
      <c r="C4" s="4">
        <v>2561.66</v>
      </c>
      <c r="D4" s="4">
        <v>1342.94</v>
      </c>
      <c r="E4" s="4">
        <v>1122.8499999999999</v>
      </c>
      <c r="F4" s="25"/>
      <c r="G4" s="4">
        <v>5478.51</v>
      </c>
      <c r="H4" s="4">
        <v>7755.89</v>
      </c>
      <c r="I4" s="25"/>
      <c r="J4" s="4">
        <v>300.38</v>
      </c>
      <c r="K4" s="4">
        <f>345.84+386</f>
        <v>731.83999999999992</v>
      </c>
      <c r="L4" s="25"/>
      <c r="M4" s="4">
        <f>1088.28+24290.8+1429.24</f>
        <v>26808.32</v>
      </c>
      <c r="N4" s="4">
        <f>1523.55+31942.08+827.4</f>
        <v>34293.030000000006</v>
      </c>
      <c r="P4" s="2"/>
      <c r="R4" s="7" t="s">
        <v>18</v>
      </c>
      <c r="U4" s="25"/>
      <c r="V4" s="25"/>
      <c r="W4" s="25"/>
      <c r="X4" s="4">
        <v>13105.28</v>
      </c>
      <c r="Y4" s="4">
        <v>6547.33</v>
      </c>
      <c r="Z4" s="25"/>
      <c r="AA4" s="7"/>
      <c r="AB4" s="7"/>
      <c r="AD4" s="7">
        <f>100.84+95.84+72.96</f>
        <v>269.64</v>
      </c>
      <c r="AE4" s="7">
        <f>461.43+208.43</f>
        <v>669.86</v>
      </c>
      <c r="AH4" s="2"/>
      <c r="AJ4" s="7" t="s">
        <v>18</v>
      </c>
      <c r="AM4" s="25"/>
      <c r="AN4" s="7">
        <v>47.28</v>
      </c>
      <c r="AO4" s="25"/>
      <c r="AP4" s="25"/>
      <c r="AQ4" s="25"/>
      <c r="AR4" s="4">
        <v>2882.08</v>
      </c>
      <c r="AS4" s="4">
        <v>1966.38</v>
      </c>
      <c r="AT4" s="25"/>
      <c r="AU4" s="7"/>
      <c r="AV4" s="7">
        <v>109.02</v>
      </c>
      <c r="AX4" s="7">
        <f>763.7+28.65</f>
        <v>792.35</v>
      </c>
      <c r="AY4" s="7">
        <f>905.49+71.88+257.71</f>
        <v>1235.08</v>
      </c>
      <c r="BG4" s="2"/>
      <c r="BO4" s="2"/>
      <c r="BP4" s="47"/>
      <c r="BQ4" s="47"/>
      <c r="BR4" s="47"/>
      <c r="BS4" s="47"/>
      <c r="BT4" s="47"/>
      <c r="BU4" s="47"/>
      <c r="BV4" s="47"/>
      <c r="BW4" s="47"/>
      <c r="BX4" s="47"/>
      <c r="BY4" s="47"/>
      <c r="BZ4" s="47"/>
      <c r="CA4" s="47"/>
      <c r="CB4" s="47"/>
      <c r="CC4" s="47"/>
      <c r="CD4" s="47"/>
      <c r="CE4" s="47"/>
      <c r="CF4" s="47"/>
      <c r="CG4" s="47"/>
    </row>
    <row r="5" spans="1:85" x14ac:dyDescent="0.3">
      <c r="A5" s="7" t="s">
        <v>18</v>
      </c>
      <c r="D5" s="25"/>
      <c r="E5" s="25"/>
      <c r="F5" s="25"/>
      <c r="G5" s="4">
        <v>2491.94</v>
      </c>
      <c r="H5" s="4">
        <v>3186.97</v>
      </c>
      <c r="I5" s="25"/>
      <c r="J5" s="4">
        <v>4006.37</v>
      </c>
      <c r="K5" s="4">
        <v>5525.74</v>
      </c>
      <c r="L5" s="25"/>
      <c r="M5" s="7">
        <v>194.34</v>
      </c>
      <c r="N5" s="7">
        <f>204.07+69.65</f>
        <v>273.72000000000003</v>
      </c>
      <c r="P5" s="2"/>
      <c r="R5" s="19" t="s">
        <v>106</v>
      </c>
      <c r="U5" s="25"/>
      <c r="V5" s="25"/>
      <c r="W5" s="25"/>
      <c r="X5" s="4">
        <v>2986.88</v>
      </c>
      <c r="Y5" s="4">
        <v>2728.59</v>
      </c>
      <c r="Z5" s="25"/>
      <c r="AA5" s="25"/>
      <c r="AD5" s="19">
        <f>242.53</f>
        <v>242.53</v>
      </c>
      <c r="AE5" s="19">
        <f>438.16</f>
        <v>438.16</v>
      </c>
      <c r="AH5" s="2"/>
      <c r="AJ5" s="19" t="s">
        <v>106</v>
      </c>
      <c r="AM5" s="25"/>
      <c r="AN5" s="25"/>
      <c r="AO5" s="25"/>
      <c r="AP5" s="25"/>
      <c r="AQ5" s="25"/>
      <c r="AR5" s="4">
        <v>2910.92</v>
      </c>
      <c r="AS5" s="4">
        <v>3276.51</v>
      </c>
      <c r="AT5" s="25"/>
      <c r="AU5" s="25"/>
      <c r="AX5" s="19">
        <v>404.23</v>
      </c>
      <c r="AY5" s="19">
        <v>384.18</v>
      </c>
      <c r="BG5" s="2"/>
      <c r="BO5" s="2"/>
      <c r="BP5" s="47"/>
      <c r="BQ5" s="47"/>
      <c r="BR5" s="47"/>
      <c r="BS5" s="47"/>
      <c r="BT5" s="47"/>
      <c r="BU5" s="47"/>
      <c r="BV5" s="47"/>
      <c r="BW5" s="47"/>
      <c r="BX5" s="47"/>
      <c r="BY5" s="47"/>
      <c r="BZ5" s="47"/>
      <c r="CA5" s="47"/>
      <c r="CB5" s="47"/>
      <c r="CC5" s="47"/>
      <c r="CD5" s="47"/>
      <c r="CE5" s="47"/>
      <c r="CF5" s="47"/>
      <c r="CG5" s="47"/>
    </row>
    <row r="6" spans="1:85" ht="28.8" x14ac:dyDescent="0.55000000000000004">
      <c r="A6" s="19" t="s">
        <v>106</v>
      </c>
      <c r="D6" s="25"/>
      <c r="E6" s="25"/>
      <c r="F6" s="25"/>
      <c r="G6" s="25"/>
      <c r="H6" s="25"/>
      <c r="I6" s="25"/>
      <c r="L6" s="25"/>
      <c r="M6" s="19">
        <v>417.91</v>
      </c>
      <c r="N6" s="19">
        <v>582.4</v>
      </c>
      <c r="P6" s="2"/>
      <c r="U6" s="25"/>
      <c r="V6" s="25"/>
      <c r="W6" s="25"/>
      <c r="X6" s="25"/>
      <c r="Y6" s="25"/>
      <c r="Z6" s="25"/>
      <c r="AA6" s="25"/>
      <c r="AH6" s="2"/>
      <c r="AM6" s="25"/>
      <c r="AN6" s="25"/>
      <c r="AO6" s="25"/>
      <c r="AP6" s="25"/>
      <c r="AQ6" s="25"/>
      <c r="AR6" s="4">
        <v>1573.2</v>
      </c>
      <c r="AS6" s="4">
        <v>2147.9899999999998</v>
      </c>
      <c r="AT6" s="25"/>
      <c r="AU6" s="25"/>
      <c r="BG6" s="2"/>
      <c r="BI6" s="54" t="s">
        <v>107</v>
      </c>
      <c r="BJ6" s="54"/>
      <c r="BK6" s="54"/>
      <c r="BL6" s="16">
        <f>F12+F29+F44+F59+X61+X45+X29+AP29+AP46+AP65+AP10+X10</f>
        <v>3703262.4490000005</v>
      </c>
      <c r="BM6" s="55" t="s">
        <v>69</v>
      </c>
      <c r="BO6" s="2"/>
      <c r="BP6" s="47"/>
      <c r="BQ6" s="47"/>
      <c r="BR6" s="47"/>
      <c r="BS6" s="47"/>
      <c r="BT6" s="47"/>
      <c r="BU6" s="47"/>
      <c r="BV6" s="47"/>
      <c r="BW6" s="47"/>
      <c r="BX6" s="47"/>
      <c r="BY6" s="47"/>
      <c r="BZ6" s="47"/>
      <c r="CA6" s="47"/>
      <c r="CB6" s="47"/>
      <c r="CC6" s="47"/>
      <c r="CD6" s="47"/>
      <c r="CE6" s="47"/>
      <c r="CF6" s="47"/>
      <c r="CG6" s="47"/>
    </row>
    <row r="7" spans="1:85" ht="28.8" x14ac:dyDescent="0.55000000000000004">
      <c r="D7" s="25"/>
      <c r="E7" s="25"/>
      <c r="F7" s="25"/>
      <c r="G7" s="25"/>
      <c r="H7" s="25"/>
      <c r="I7" s="25"/>
      <c r="L7" s="25"/>
      <c r="M7" s="25"/>
      <c r="N7" s="25"/>
      <c r="O7" s="25"/>
      <c r="P7" s="2"/>
      <c r="AA7" s="25"/>
      <c r="AB7" s="25"/>
      <c r="AC7" s="25"/>
      <c r="AD7" s="25"/>
      <c r="AE7" s="25"/>
      <c r="AH7" s="2"/>
      <c r="AM7" s="25"/>
      <c r="AN7" s="25"/>
      <c r="AO7" s="25"/>
      <c r="AP7" s="25"/>
      <c r="AQ7" s="25"/>
      <c r="AR7" s="25"/>
      <c r="AS7" s="25"/>
      <c r="AT7" s="25"/>
      <c r="AU7" s="25"/>
      <c r="AV7" s="25"/>
      <c r="BG7" s="2"/>
      <c r="BI7" s="54" t="s">
        <v>108</v>
      </c>
      <c r="BJ7" s="54"/>
      <c r="BK7" s="54"/>
      <c r="BL7" s="16">
        <f>F13+F30+F45+F60+X62+X46+X30+X11+AP11+AP30+AP47+AP66</f>
        <v>34483.671000000002</v>
      </c>
      <c r="BM7" s="55" t="s">
        <v>69</v>
      </c>
      <c r="BO7" s="2"/>
      <c r="BP7" s="47"/>
      <c r="BQ7" s="47"/>
      <c r="BR7" s="47"/>
      <c r="BS7" s="47"/>
      <c r="BT7" s="47"/>
      <c r="BU7" s="47"/>
      <c r="BV7" s="47"/>
      <c r="BW7" s="47"/>
      <c r="BX7" s="47"/>
      <c r="BY7" s="47"/>
      <c r="BZ7" s="47"/>
      <c r="CA7" s="47"/>
      <c r="CB7" s="47"/>
      <c r="CC7" s="47"/>
      <c r="CD7" s="47"/>
      <c r="CE7" s="47"/>
      <c r="CF7" s="47"/>
      <c r="CG7" s="47"/>
    </row>
    <row r="8" spans="1:85" ht="28.8" x14ac:dyDescent="0.55000000000000004">
      <c r="D8" s="25"/>
      <c r="E8" s="25"/>
      <c r="F8" s="25"/>
      <c r="G8" s="25"/>
      <c r="H8" s="25"/>
      <c r="I8" s="25"/>
      <c r="J8" s="25"/>
      <c r="K8" s="25"/>
      <c r="L8" s="25"/>
      <c r="M8" s="25"/>
      <c r="N8" s="25"/>
      <c r="O8" s="25"/>
      <c r="P8" s="2"/>
      <c r="R8" s="4" t="s">
        <v>23</v>
      </c>
      <c r="S8">
        <f>T3+U3+V3+X3+Y3+Y4+Y5+X5+X4+AA3+AB3+AD3+AE3</f>
        <v>104036.92</v>
      </c>
      <c r="T8" t="s">
        <v>24</v>
      </c>
      <c r="U8" s="25"/>
      <c r="V8" s="11" t="s">
        <v>25</v>
      </c>
      <c r="Z8" s="25"/>
      <c r="AA8" s="25"/>
      <c r="AB8" s="25"/>
      <c r="AC8" s="25"/>
      <c r="AD8" s="25"/>
      <c r="AE8" s="25"/>
      <c r="AH8" s="2"/>
      <c r="AJ8" s="4" t="s">
        <v>23</v>
      </c>
      <c r="AK8">
        <f>AL3+AM3+AN3+AP3+AR3+AR4+AR5+AR6+AS6+AS5+AS4+AS3+AU3+AV3+AX3+AY3</f>
        <v>118727.31000000003</v>
      </c>
      <c r="AL8" t="s">
        <v>24</v>
      </c>
      <c r="AN8" s="11" t="s">
        <v>25</v>
      </c>
      <c r="AR8" s="25"/>
      <c r="AS8" s="25"/>
      <c r="AT8" s="25"/>
      <c r="AU8" s="25"/>
      <c r="AV8" s="25"/>
      <c r="AW8" s="25"/>
      <c r="BG8" s="2"/>
      <c r="BI8" s="54" t="s">
        <v>109</v>
      </c>
      <c r="BJ8" s="54"/>
      <c r="BK8" s="54"/>
      <c r="BL8" s="15">
        <f>AP12+X12+F14+F31+X31+AP31+X47+X63+F61+F46</f>
        <v>8223.1908000000003</v>
      </c>
      <c r="BM8" s="55" t="s">
        <v>69</v>
      </c>
      <c r="BO8" s="2"/>
      <c r="BP8" s="47"/>
      <c r="BQ8" s="47"/>
      <c r="BR8" s="47"/>
      <c r="BS8" s="47"/>
      <c r="BT8" s="47"/>
      <c r="BU8" s="47"/>
      <c r="BV8" s="47"/>
      <c r="BW8" s="47"/>
      <c r="BX8" s="47"/>
      <c r="BY8" s="47"/>
      <c r="BZ8" s="47"/>
      <c r="CA8" s="47"/>
      <c r="CB8" s="47"/>
      <c r="CC8" s="47"/>
      <c r="CD8" s="47"/>
      <c r="CE8" s="47"/>
      <c r="CF8" s="47"/>
      <c r="CG8" s="47"/>
    </row>
    <row r="9" spans="1:85" x14ac:dyDescent="0.3">
      <c r="I9" s="25"/>
      <c r="J9" s="25"/>
      <c r="K9" s="25"/>
      <c r="L9" s="25"/>
      <c r="M9" s="25"/>
      <c r="N9" s="25"/>
      <c r="O9" s="25"/>
      <c r="P9" s="28"/>
      <c r="R9" s="7" t="s">
        <v>26</v>
      </c>
      <c r="S9">
        <f>AD4+AE4</f>
        <v>939.5</v>
      </c>
      <c r="T9" t="s">
        <v>24</v>
      </c>
      <c r="U9" s="25"/>
      <c r="Z9" s="25"/>
      <c r="AH9" s="2"/>
      <c r="AJ9" s="7" t="s">
        <v>26</v>
      </c>
      <c r="AK9">
        <f>AN4+AV4+AX4+AY4</f>
        <v>2183.73</v>
      </c>
      <c r="AL9" t="s">
        <v>24</v>
      </c>
      <c r="BG9" s="2"/>
      <c r="BO9" s="2"/>
      <c r="BP9" s="47"/>
      <c r="BQ9" s="47"/>
      <c r="BR9" s="47"/>
      <c r="BS9" s="47"/>
      <c r="BT9" s="47"/>
      <c r="BU9" s="47"/>
      <c r="BV9" s="47"/>
      <c r="BW9" s="47"/>
      <c r="BX9" s="47"/>
      <c r="BY9" s="47"/>
      <c r="BZ9" s="47"/>
      <c r="CA9" s="47"/>
      <c r="CB9" s="47"/>
      <c r="CC9" s="47"/>
      <c r="CD9" s="47"/>
      <c r="CE9" s="47"/>
      <c r="CF9" s="47"/>
      <c r="CG9" s="47"/>
    </row>
    <row r="10" spans="1:85" ht="18" x14ac:dyDescent="0.35">
      <c r="A10" s="4" t="s">
        <v>23</v>
      </c>
      <c r="B10" cm="1">
        <f t="array" ref="B10">Tableau3456[10-janv]+Tableau3456[20-janv]+Tableau3456[31-janv]+G4+H4+H5+G5+J4+K4+J5+K5+M4+N4</f>
        <v>95606.44</v>
      </c>
      <c r="C10" t="s">
        <v>24</v>
      </c>
      <c r="D10" s="11" t="s">
        <v>25</v>
      </c>
      <c r="P10" s="2"/>
      <c r="R10" s="19" t="s">
        <v>110</v>
      </c>
      <c r="S10">
        <f>AD5+AE5</f>
        <v>680.69</v>
      </c>
      <c r="W10" s="13" t="s">
        <v>14</v>
      </c>
      <c r="X10" s="14">
        <f>S8*3.1</f>
        <v>322514.45199999999</v>
      </c>
      <c r="Y10" s="13" t="s">
        <v>28</v>
      </c>
      <c r="AH10" s="2"/>
      <c r="AJ10" s="19" t="s">
        <v>110</v>
      </c>
      <c r="AK10">
        <f>AX5+AY5</f>
        <v>788.41000000000008</v>
      </c>
      <c r="AL10" t="s">
        <v>24</v>
      </c>
      <c r="AO10" s="13" t="s">
        <v>14</v>
      </c>
      <c r="AP10" s="14">
        <f>AK8*3.1</f>
        <v>368054.66100000008</v>
      </c>
      <c r="AQ10" s="13" t="s">
        <v>28</v>
      </c>
      <c r="BG10" s="2"/>
      <c r="BO10" s="2"/>
      <c r="BP10" s="47"/>
      <c r="BQ10" s="47"/>
      <c r="BR10" s="47"/>
      <c r="BS10" s="47"/>
      <c r="BT10" s="47"/>
      <c r="BU10" s="47"/>
      <c r="BV10" s="47"/>
      <c r="BW10" s="47"/>
      <c r="BX10" s="47"/>
      <c r="BY10" s="47"/>
      <c r="BZ10" s="47"/>
      <c r="CA10" s="47"/>
      <c r="CB10" s="47"/>
      <c r="CC10" s="47"/>
      <c r="CD10" s="47"/>
      <c r="CE10" s="47"/>
      <c r="CF10" s="47"/>
      <c r="CG10" s="47"/>
    </row>
    <row r="11" spans="1:85" x14ac:dyDescent="0.3">
      <c r="A11" s="7" t="s">
        <v>26</v>
      </c>
      <c r="B11">
        <f>M5+N5</f>
        <v>468.06000000000006</v>
      </c>
      <c r="C11" t="s">
        <v>24</v>
      </c>
      <c r="P11" s="2"/>
      <c r="W11" s="13" t="s">
        <v>18</v>
      </c>
      <c r="X11" s="14">
        <f>S9*2.7</f>
        <v>2536.65</v>
      </c>
      <c r="Y11" s="13" t="s">
        <v>28</v>
      </c>
      <c r="AH11" s="2"/>
      <c r="AO11" s="13" t="s">
        <v>18</v>
      </c>
      <c r="AP11" s="14">
        <f>AK9*2.7</f>
        <v>5896.0710000000008</v>
      </c>
      <c r="AQ11" s="13" t="s">
        <v>28</v>
      </c>
      <c r="BG11" s="2"/>
      <c r="BO11" s="2"/>
      <c r="BP11" s="47"/>
      <c r="BQ11" s="47"/>
      <c r="BR11" s="47"/>
      <c r="BS11" s="47"/>
      <c r="BT11" s="47"/>
      <c r="BU11" s="47"/>
      <c r="BV11" s="47"/>
      <c r="BW11" s="47"/>
      <c r="BX11" s="47"/>
      <c r="BY11" s="47"/>
      <c r="BZ11" s="47"/>
      <c r="CA11" s="47"/>
      <c r="CB11" s="47"/>
      <c r="CC11" s="47"/>
      <c r="CD11" s="47"/>
      <c r="CE11" s="47"/>
      <c r="CF11" s="47"/>
      <c r="CG11" s="47"/>
    </row>
    <row r="12" spans="1:85" x14ac:dyDescent="0.3">
      <c r="A12" s="19" t="s">
        <v>110</v>
      </c>
      <c r="B12">
        <f>M6+N6</f>
        <v>1000.31</v>
      </c>
      <c r="C12" t="s">
        <v>24</v>
      </c>
      <c r="E12" s="13" t="s">
        <v>14</v>
      </c>
      <c r="F12" s="14">
        <f>B10*3.1</f>
        <v>296379.96400000004</v>
      </c>
      <c r="G12" s="13" t="s">
        <v>28</v>
      </c>
      <c r="P12" s="2"/>
      <c r="W12" s="13" t="s">
        <v>111</v>
      </c>
      <c r="X12" s="13">
        <f>S10*1.11</f>
        <v>755.56590000000017</v>
      </c>
      <c r="Y12" s="13" t="s">
        <v>28</v>
      </c>
      <c r="AH12" s="2"/>
      <c r="AO12" s="13" t="s">
        <v>111</v>
      </c>
      <c r="AP12" s="13">
        <f>AK10*1.11</f>
        <v>875.13510000000019</v>
      </c>
      <c r="AQ12" s="13" t="s">
        <v>28</v>
      </c>
      <c r="BG12" s="2"/>
      <c r="BO12" s="2"/>
      <c r="BP12" s="47"/>
      <c r="BQ12" s="47"/>
      <c r="BR12" s="47"/>
      <c r="BS12" s="47"/>
      <c r="BT12" s="47"/>
      <c r="BU12" s="47"/>
      <c r="BV12" s="47"/>
      <c r="BW12" s="47"/>
      <c r="BX12" s="47"/>
      <c r="BY12" s="47"/>
      <c r="BZ12" s="47"/>
      <c r="CA12" s="47"/>
      <c r="CB12" s="47"/>
      <c r="CC12" s="47"/>
      <c r="CD12" s="47"/>
      <c r="CE12" s="47"/>
      <c r="CF12" s="47"/>
      <c r="CG12" s="47"/>
    </row>
    <row r="13" spans="1:85" x14ac:dyDescent="0.3">
      <c r="E13" s="13" t="s">
        <v>18</v>
      </c>
      <c r="F13" s="14">
        <f>B11*2.7</f>
        <v>1263.7620000000002</v>
      </c>
      <c r="G13" s="13" t="s">
        <v>28</v>
      </c>
      <c r="P13" s="2"/>
      <c r="W13" s="13"/>
      <c r="X13" s="14"/>
      <c r="Y13" s="13"/>
      <c r="AH13" s="2"/>
      <c r="AO13" s="13"/>
      <c r="AP13" s="14"/>
      <c r="AQ13" s="13"/>
      <c r="BG13" s="2"/>
      <c r="BO13" s="2"/>
      <c r="BP13" s="47"/>
      <c r="BQ13" s="47"/>
      <c r="BR13" s="47"/>
      <c r="BS13" s="47"/>
      <c r="BT13" s="47"/>
      <c r="BU13" s="47"/>
      <c r="BV13" s="47"/>
      <c r="BW13" s="47"/>
      <c r="BX13" s="47"/>
      <c r="BY13" s="47"/>
      <c r="BZ13" s="47"/>
      <c r="CA13" s="47"/>
      <c r="CB13" s="47"/>
      <c r="CC13" s="47"/>
      <c r="CD13" s="47"/>
      <c r="CE13" s="47"/>
      <c r="CF13" s="47"/>
      <c r="CG13" s="47"/>
    </row>
    <row r="14" spans="1:85" ht="15.6" x14ac:dyDescent="0.3">
      <c r="E14" s="13" t="s">
        <v>111</v>
      </c>
      <c r="F14" s="13">
        <f>B12*1.11</f>
        <v>1110.3441</v>
      </c>
      <c r="G14" s="13"/>
      <c r="P14" s="2"/>
      <c r="W14" s="20" t="s">
        <v>4</v>
      </c>
      <c r="X14" s="21">
        <f>X11+X12+X10</f>
        <v>325806.6679</v>
      </c>
      <c r="Y14" s="20" t="s">
        <v>28</v>
      </c>
      <c r="AH14" s="2"/>
      <c r="AO14" s="20" t="s">
        <v>4</v>
      </c>
      <c r="AP14" s="21">
        <f>AP11+AP12+AP10</f>
        <v>374825.86710000009</v>
      </c>
      <c r="AQ14" s="20" t="s">
        <v>28</v>
      </c>
      <c r="BG14" s="2"/>
      <c r="BO14" s="2"/>
      <c r="BP14" s="47"/>
      <c r="BQ14" s="47"/>
      <c r="BR14" s="47"/>
      <c r="BS14" s="47"/>
      <c r="BT14" s="47"/>
      <c r="BU14" s="47"/>
      <c r="BV14" s="47"/>
      <c r="BW14" s="47"/>
      <c r="BX14" s="47"/>
      <c r="BY14" s="47"/>
      <c r="BZ14" s="47"/>
      <c r="CA14" s="47"/>
      <c r="CB14" s="47"/>
      <c r="CC14" s="47"/>
      <c r="CD14" s="47"/>
      <c r="CE14" s="47"/>
      <c r="CF14" s="47"/>
      <c r="CG14" s="47"/>
    </row>
    <row r="15" spans="1:85" x14ac:dyDescent="0.3">
      <c r="E15" s="13"/>
      <c r="F15" s="14"/>
      <c r="G15" s="13"/>
      <c r="P15" s="2"/>
      <c r="AH15" s="2"/>
      <c r="BG15" s="2"/>
      <c r="BO15" s="2"/>
      <c r="BP15" s="47"/>
      <c r="BQ15" s="47"/>
      <c r="BR15" s="47"/>
      <c r="BS15" s="47"/>
      <c r="BT15" s="47"/>
      <c r="BU15" s="47"/>
      <c r="BV15" s="47"/>
      <c r="BW15" s="47"/>
      <c r="BX15" s="47"/>
      <c r="BY15" s="47"/>
      <c r="BZ15" s="47"/>
      <c r="CA15" s="47"/>
      <c r="CB15" s="47"/>
      <c r="CC15" s="47"/>
      <c r="CD15" s="47"/>
      <c r="CE15" s="47"/>
      <c r="CF15" s="47"/>
      <c r="CG15" s="47"/>
    </row>
    <row r="16" spans="1:85" ht="15.6" x14ac:dyDescent="0.3">
      <c r="E16" s="20" t="s">
        <v>4</v>
      </c>
      <c r="F16" s="21">
        <f>F13+F14+F12</f>
        <v>298754.07010000001</v>
      </c>
      <c r="G16" s="20" t="s">
        <v>28</v>
      </c>
      <c r="P16" s="2"/>
      <c r="AH16" s="2"/>
      <c r="BG16" s="2"/>
      <c r="BO16" s="2"/>
      <c r="BP16" s="47"/>
      <c r="BQ16" s="47"/>
      <c r="BR16" s="47"/>
      <c r="BS16" s="47"/>
      <c r="BT16" s="47"/>
      <c r="BU16" s="47"/>
      <c r="BV16" s="47"/>
      <c r="BW16" s="47"/>
      <c r="BX16" s="47"/>
      <c r="BY16" s="47"/>
      <c r="BZ16" s="47"/>
      <c r="CA16" s="47"/>
      <c r="CB16" s="47"/>
      <c r="CC16" s="47"/>
      <c r="CD16" s="47"/>
      <c r="CE16" s="47"/>
      <c r="CF16" s="47"/>
      <c r="CG16" s="47"/>
    </row>
    <row r="17" spans="1:85" x14ac:dyDescent="0.3">
      <c r="P17" s="2"/>
      <c r="AH17" s="2"/>
      <c r="BG17" s="2"/>
      <c r="BO17" s="2"/>
      <c r="BP17" s="47"/>
      <c r="BQ17" s="47"/>
      <c r="BR17" s="47"/>
      <c r="BS17" s="47"/>
      <c r="BT17" s="47"/>
      <c r="BU17" s="47"/>
      <c r="BV17" s="47"/>
      <c r="BW17" s="47"/>
      <c r="BX17" s="47"/>
      <c r="BY17" s="47"/>
      <c r="BZ17" s="47"/>
      <c r="CA17" s="47"/>
      <c r="CB17" s="47"/>
      <c r="CC17" s="47"/>
      <c r="CD17" s="47"/>
      <c r="CE17" s="47"/>
      <c r="CF17" s="47"/>
      <c r="CG17" s="47"/>
    </row>
    <row r="18" spans="1:85" x14ac:dyDescent="0.3">
      <c r="A18" s="56"/>
      <c r="B18" s="56"/>
      <c r="C18" s="56"/>
      <c r="D18" s="56"/>
      <c r="E18" s="56"/>
      <c r="F18" s="56"/>
      <c r="G18" s="56"/>
      <c r="H18" s="56"/>
      <c r="I18" s="56"/>
      <c r="J18" s="56"/>
      <c r="K18" s="56"/>
      <c r="L18" s="56"/>
      <c r="M18" s="56"/>
      <c r="N18" s="56"/>
      <c r="O18" s="56"/>
      <c r="P18" s="57"/>
      <c r="Q18" s="56"/>
      <c r="R18" s="56"/>
      <c r="S18" s="56"/>
      <c r="T18" s="56"/>
      <c r="U18" s="56"/>
      <c r="V18" s="56"/>
      <c r="W18" s="56"/>
      <c r="X18" s="56"/>
      <c r="Y18" s="56"/>
      <c r="Z18" s="56"/>
      <c r="AA18" s="56"/>
      <c r="AB18" s="56"/>
      <c r="AC18" s="56"/>
      <c r="AD18" s="56"/>
      <c r="AE18" s="56"/>
      <c r="AF18" s="56"/>
      <c r="AG18" s="56"/>
      <c r="AH18" s="57"/>
      <c r="AI18" s="56"/>
      <c r="AJ18" s="56"/>
      <c r="AK18" s="56"/>
      <c r="AL18" s="56"/>
      <c r="AM18" s="56"/>
      <c r="AN18" s="56"/>
      <c r="AO18" s="56"/>
      <c r="AP18" s="56"/>
      <c r="AQ18" s="56"/>
      <c r="AR18" s="56"/>
      <c r="AS18" s="56"/>
      <c r="AT18" s="56"/>
      <c r="AU18" s="56"/>
      <c r="AV18" s="56"/>
      <c r="AW18" s="56"/>
      <c r="AX18" s="56"/>
      <c r="AY18" s="56"/>
      <c r="AZ18" s="56"/>
      <c r="BA18" s="56"/>
      <c r="BB18" s="56"/>
      <c r="BC18" s="56"/>
      <c r="BD18" s="56"/>
      <c r="BE18" s="56"/>
      <c r="BF18" s="56"/>
      <c r="BG18" s="57"/>
      <c r="BH18" s="56"/>
      <c r="BI18" s="56"/>
      <c r="BJ18" s="56"/>
      <c r="BK18" s="56"/>
      <c r="BL18" s="56"/>
      <c r="BM18" s="56"/>
      <c r="BN18" s="56"/>
      <c r="BO18" s="57"/>
      <c r="BP18" s="47"/>
      <c r="BQ18" s="47"/>
      <c r="BR18" s="47"/>
      <c r="BS18" s="47"/>
      <c r="BT18" s="47"/>
      <c r="BU18" s="47"/>
      <c r="BV18" s="47"/>
      <c r="BW18" s="47"/>
      <c r="BX18" s="47"/>
      <c r="BY18" s="47"/>
      <c r="BZ18" s="47"/>
      <c r="CA18" s="47"/>
      <c r="CB18" s="47"/>
      <c r="CC18" s="47"/>
      <c r="CD18" s="47"/>
      <c r="CE18" s="47"/>
      <c r="CF18" s="47"/>
      <c r="CG18" s="47"/>
    </row>
    <row r="19" spans="1:85" ht="18" x14ac:dyDescent="0.35">
      <c r="A19" s="45" t="s">
        <v>43</v>
      </c>
      <c r="P19" s="2"/>
      <c r="Q19" s="5" t="s">
        <v>48</v>
      </c>
      <c r="T19" s="1" t="s">
        <v>1</v>
      </c>
      <c r="U19" s="1"/>
      <c r="V19" s="1"/>
      <c r="W19" s="1"/>
      <c r="X19" s="1" t="s">
        <v>3</v>
      </c>
      <c r="Y19" s="1"/>
      <c r="Z19" s="1"/>
      <c r="AA19" s="1"/>
      <c r="AB19" s="1" t="s">
        <v>4</v>
      </c>
      <c r="AC19" s="1"/>
      <c r="AD19" s="1"/>
      <c r="AE19" s="1" t="s">
        <v>5</v>
      </c>
      <c r="AH19" s="2"/>
      <c r="AI19" s="1" t="s">
        <v>0</v>
      </c>
      <c r="AL19" t="s">
        <v>1</v>
      </c>
      <c r="AP19" t="s">
        <v>2</v>
      </c>
      <c r="AR19" t="s">
        <v>3</v>
      </c>
      <c r="AT19" t="s">
        <v>4</v>
      </c>
      <c r="AV19" t="s">
        <v>5</v>
      </c>
      <c r="BG19" s="2"/>
      <c r="BO19" s="2"/>
      <c r="BP19" s="47"/>
      <c r="BQ19" s="47"/>
      <c r="BR19" s="47"/>
      <c r="BS19" s="47"/>
      <c r="BT19" s="47"/>
      <c r="BU19" s="47"/>
      <c r="BV19" s="47"/>
      <c r="BW19" s="47"/>
      <c r="BX19" s="47"/>
      <c r="BY19" s="47"/>
      <c r="BZ19" s="47"/>
      <c r="CA19" s="47"/>
      <c r="CB19" s="47"/>
      <c r="CC19" s="47"/>
      <c r="CD19" s="47"/>
      <c r="CE19" s="47"/>
      <c r="CF19" s="47"/>
      <c r="CG19" s="47"/>
    </row>
    <row r="20" spans="1:85" ht="15.6" x14ac:dyDescent="0.3">
      <c r="C20" s="1" t="s">
        <v>1</v>
      </c>
      <c r="G20" s="1" t="s">
        <v>3</v>
      </c>
      <c r="J20" s="1" t="s">
        <v>4</v>
      </c>
      <c r="M20" s="1" t="s">
        <v>5</v>
      </c>
      <c r="P20" s="2"/>
      <c r="T20" s="3">
        <v>45453</v>
      </c>
      <c r="U20" s="49">
        <v>45463</v>
      </c>
      <c r="V20" s="49">
        <v>45473</v>
      </c>
      <c r="W20" s="25"/>
      <c r="X20" s="49">
        <v>45448</v>
      </c>
      <c r="Y20" s="49">
        <v>45458</v>
      </c>
      <c r="Z20" s="49">
        <v>45473</v>
      </c>
      <c r="AB20" s="49">
        <v>45458</v>
      </c>
      <c r="AC20" s="49">
        <v>45473</v>
      </c>
      <c r="AE20" s="3">
        <v>45458</v>
      </c>
      <c r="AF20" s="3">
        <v>45473</v>
      </c>
      <c r="AH20" s="2"/>
      <c r="AL20" s="3" t="s">
        <v>6</v>
      </c>
      <c r="AM20" s="3" t="s">
        <v>7</v>
      </c>
      <c r="AN20" s="3" t="s">
        <v>8</v>
      </c>
      <c r="AP20" s="3" t="s">
        <v>9</v>
      </c>
      <c r="AR20" s="3" t="s">
        <v>9</v>
      </c>
      <c r="AT20" s="3" t="s">
        <v>10</v>
      </c>
      <c r="AV20" s="3" t="s">
        <v>11</v>
      </c>
      <c r="AW20" s="3" t="s">
        <v>12</v>
      </c>
      <c r="AX20" s="3" t="s">
        <v>13</v>
      </c>
      <c r="AY20" s="3" t="s">
        <v>10</v>
      </c>
      <c r="BG20" s="2"/>
      <c r="BO20" s="2"/>
      <c r="BP20" s="47"/>
      <c r="BQ20" s="47"/>
      <c r="BR20" s="47"/>
      <c r="BS20" s="47"/>
      <c r="BT20" s="47"/>
      <c r="BU20" s="47"/>
      <c r="BV20" s="47"/>
      <c r="BW20" s="47"/>
      <c r="BX20" s="47"/>
      <c r="BY20" s="47"/>
      <c r="BZ20" s="47"/>
      <c r="CA20" s="47"/>
      <c r="CB20" s="47"/>
      <c r="CC20" s="47"/>
      <c r="CD20" s="47"/>
      <c r="CE20" s="47"/>
      <c r="CF20" s="47"/>
      <c r="CG20" s="47"/>
    </row>
    <row r="21" spans="1:85" x14ac:dyDescent="0.3">
      <c r="C21" s="3" t="s">
        <v>112</v>
      </c>
      <c r="D21" s="49" t="s">
        <v>113</v>
      </c>
      <c r="E21" s="49" t="s">
        <v>114</v>
      </c>
      <c r="F21" s="25"/>
      <c r="G21" s="49" t="s">
        <v>115</v>
      </c>
      <c r="H21" s="49" t="s">
        <v>114</v>
      </c>
      <c r="I21" s="25"/>
      <c r="J21" s="49" t="s">
        <v>115</v>
      </c>
      <c r="K21" s="49" t="s">
        <v>114</v>
      </c>
      <c r="L21" s="25"/>
      <c r="M21" s="49" t="s">
        <v>115</v>
      </c>
      <c r="N21" s="49" t="s">
        <v>114</v>
      </c>
      <c r="P21" s="2"/>
      <c r="R21" s="4" t="s">
        <v>14</v>
      </c>
      <c r="T21" s="4">
        <v>2221.8200000000002</v>
      </c>
      <c r="U21" s="4">
        <v>1547.07</v>
      </c>
      <c r="V21" s="4">
        <v>2734.56</v>
      </c>
      <c r="W21" s="25"/>
      <c r="X21" s="4">
        <v>128.36000000000001</v>
      </c>
      <c r="Y21" s="4">
        <v>426.44</v>
      </c>
      <c r="Z21" s="4">
        <v>428.2</v>
      </c>
      <c r="AB21" s="4">
        <f>1768.15+1096</f>
        <v>2864.15</v>
      </c>
      <c r="AC21" s="4">
        <f>813.32+95.49</f>
        <v>908.81000000000006</v>
      </c>
      <c r="AE21" s="4">
        <f>1078.37+33415.31+1005.13</f>
        <v>35498.81</v>
      </c>
      <c r="AF21" s="4">
        <f>346.57+29528.95+768.11</f>
        <v>30643.63</v>
      </c>
      <c r="AH21" s="2"/>
      <c r="AJ21" s="4" t="s">
        <v>14</v>
      </c>
      <c r="AL21" s="4">
        <v>4217.53</v>
      </c>
      <c r="AM21" s="4">
        <v>5310.44</v>
      </c>
      <c r="AN21" s="4">
        <v>1546.57</v>
      </c>
      <c r="AP21" s="4">
        <v>1921.18</v>
      </c>
      <c r="AR21">
        <v>2659.51</v>
      </c>
      <c r="AT21">
        <v>368.43</v>
      </c>
      <c r="AV21" s="4">
        <f>21628.37+20.1</f>
        <v>21648.469999999998</v>
      </c>
      <c r="AW21" s="4">
        <f>20811.17+1003.43</f>
        <v>21814.6</v>
      </c>
      <c r="AX21" s="4">
        <v>23045.99</v>
      </c>
      <c r="AY21" s="4">
        <v>8588.52</v>
      </c>
      <c r="BG21" s="2"/>
      <c r="BO21" s="2"/>
      <c r="BP21" s="47"/>
      <c r="BQ21" s="47"/>
      <c r="BR21" s="47"/>
      <c r="BS21" s="47"/>
      <c r="BT21" s="47"/>
      <c r="BU21" s="47"/>
      <c r="BV21" s="47"/>
      <c r="BW21" s="47"/>
      <c r="BX21" s="47"/>
      <c r="BY21" s="47"/>
      <c r="BZ21" s="47"/>
      <c r="CA21" s="47"/>
      <c r="CB21" s="47"/>
      <c r="CC21" s="47"/>
      <c r="CD21" s="47"/>
      <c r="CE21" s="47"/>
      <c r="CF21" s="47"/>
      <c r="CG21" s="47"/>
    </row>
    <row r="22" spans="1:85" x14ac:dyDescent="0.3">
      <c r="A22" s="4" t="s">
        <v>14</v>
      </c>
      <c r="C22" s="4">
        <v>1687.43</v>
      </c>
      <c r="D22" s="4">
        <v>764.14</v>
      </c>
      <c r="E22" s="4">
        <v>1108.18</v>
      </c>
      <c r="F22" s="25"/>
      <c r="G22" s="4">
        <f>5396.72+155</f>
        <v>5551.72</v>
      </c>
      <c r="H22" s="4">
        <v>2394.19</v>
      </c>
      <c r="I22" s="25"/>
      <c r="J22" s="4">
        <v>146.94</v>
      </c>
      <c r="K22" s="4">
        <v>1565.6</v>
      </c>
      <c r="L22" s="25"/>
      <c r="M22" s="4">
        <f>1199.25+39594.83+1493.04</f>
        <v>42287.12</v>
      </c>
      <c r="N22" s="4">
        <f>627.4+16640.38+966.55</f>
        <v>18234.330000000002</v>
      </c>
      <c r="P22" s="2"/>
      <c r="R22" s="7" t="s">
        <v>18</v>
      </c>
      <c r="U22" s="25"/>
      <c r="V22" s="25"/>
      <c r="W22" s="25"/>
      <c r="X22" s="4"/>
      <c r="Y22" s="4">
        <v>4006.11</v>
      </c>
      <c r="Z22" s="4">
        <v>3280.97</v>
      </c>
      <c r="AB22" s="7"/>
      <c r="AC22" s="7"/>
      <c r="AE22" s="7">
        <v>133.99</v>
      </c>
      <c r="AF22" s="7">
        <f>193.94+183.3+45.51</f>
        <v>422.75</v>
      </c>
      <c r="AH22" s="2"/>
      <c r="AJ22" s="7" t="s">
        <v>18</v>
      </c>
      <c r="AM22" s="7">
        <v>33.35</v>
      </c>
      <c r="AR22">
        <v>2635.27</v>
      </c>
      <c r="AT22">
        <v>38.369999999999997</v>
      </c>
      <c r="AV22" s="7">
        <v>267.25</v>
      </c>
      <c r="AW22" s="7">
        <v>499.31</v>
      </c>
      <c r="AX22" s="7">
        <v>481.31</v>
      </c>
      <c r="AY22" s="4">
        <v>47.85</v>
      </c>
      <c r="BG22" s="2"/>
      <c r="BO22" s="2"/>
      <c r="BP22" s="47"/>
      <c r="BQ22" s="47"/>
      <c r="BR22" s="47"/>
      <c r="BS22" s="47"/>
      <c r="BT22" s="47"/>
      <c r="BU22" s="47"/>
      <c r="BV22" s="47"/>
      <c r="BW22" s="47"/>
      <c r="BX22" s="47"/>
      <c r="BY22" s="47"/>
      <c r="BZ22" s="47"/>
      <c r="CA22" s="47"/>
      <c r="CB22" s="47"/>
      <c r="CC22" s="47"/>
      <c r="CD22" s="47"/>
      <c r="CE22" s="47"/>
      <c r="CF22" s="47"/>
      <c r="CG22" s="47"/>
    </row>
    <row r="23" spans="1:85" x14ac:dyDescent="0.3">
      <c r="A23" s="7" t="s">
        <v>18</v>
      </c>
      <c r="D23" s="25"/>
      <c r="E23" s="25"/>
      <c r="F23" s="25"/>
      <c r="G23" s="4">
        <v>1764.54</v>
      </c>
      <c r="H23" s="4">
        <v>865.57</v>
      </c>
      <c r="I23" s="25"/>
      <c r="J23" s="4">
        <v>3367.97</v>
      </c>
      <c r="K23" s="4">
        <v>2037.47</v>
      </c>
      <c r="L23" s="25"/>
      <c r="M23" s="7">
        <v>259.86</v>
      </c>
      <c r="N23" s="7">
        <v>33.35</v>
      </c>
      <c r="P23" s="2"/>
      <c r="R23" s="19" t="s">
        <v>106</v>
      </c>
      <c r="U23" s="25"/>
      <c r="V23" s="25"/>
      <c r="W23" s="25"/>
      <c r="X23" s="4"/>
      <c r="Y23" s="4">
        <v>7468.88</v>
      </c>
      <c r="Z23" s="4">
        <v>5440.73</v>
      </c>
      <c r="AB23" s="25"/>
      <c r="AE23" s="19">
        <v>556.41</v>
      </c>
      <c r="AF23" s="19">
        <v>377.93</v>
      </c>
      <c r="AH23" s="2"/>
      <c r="AR23">
        <v>1183.1300000000001</v>
      </c>
      <c r="AT23" s="4">
        <f>SUM(AT21:AT22)</f>
        <v>406.8</v>
      </c>
      <c r="AW23" s="7">
        <v>126.39</v>
      </c>
      <c r="AX23" s="7">
        <v>34.83</v>
      </c>
      <c r="AY23" s="7">
        <f>164.42+259.13</f>
        <v>423.54999999999995</v>
      </c>
      <c r="BG23" s="2"/>
      <c r="BO23" s="2"/>
      <c r="BP23" s="47"/>
      <c r="BQ23" s="47"/>
      <c r="BR23" s="47"/>
      <c r="BS23" s="47"/>
      <c r="BT23" s="47"/>
      <c r="BU23" s="47"/>
      <c r="BV23" s="47"/>
      <c r="BW23" s="47"/>
      <c r="BX23" s="47"/>
      <c r="BY23" s="47"/>
      <c r="BZ23" s="47"/>
      <c r="CA23" s="47"/>
      <c r="CB23" s="47"/>
      <c r="CC23" s="47"/>
      <c r="CD23" s="47"/>
      <c r="CE23" s="47"/>
      <c r="CF23" s="47"/>
      <c r="CG23" s="47"/>
    </row>
    <row r="24" spans="1:85" x14ac:dyDescent="0.3">
      <c r="A24" s="19" t="s">
        <v>106</v>
      </c>
      <c r="D24" s="25"/>
      <c r="E24" s="25"/>
      <c r="F24" s="25"/>
      <c r="I24" s="25"/>
      <c r="J24" s="25"/>
      <c r="K24" s="25"/>
      <c r="L24" s="25"/>
      <c r="M24" s="19">
        <v>370.46</v>
      </c>
      <c r="N24" s="19">
        <v>533.20000000000005</v>
      </c>
      <c r="P24" s="2"/>
      <c r="U24" s="25"/>
      <c r="V24" s="25"/>
      <c r="W24" s="25"/>
      <c r="X24" s="4"/>
      <c r="Y24" s="4">
        <v>2813.33</v>
      </c>
      <c r="Z24" s="4">
        <v>3259.63</v>
      </c>
      <c r="AB24" s="25"/>
      <c r="AH24" s="2"/>
      <c r="AR24">
        <v>2698.63</v>
      </c>
      <c r="BG24" s="2"/>
      <c r="BO24" s="2"/>
      <c r="BP24" s="47"/>
      <c r="BQ24" s="47"/>
      <c r="BR24" s="47"/>
      <c r="BS24" s="47"/>
      <c r="BT24" s="47"/>
      <c r="BU24" s="47"/>
      <c r="BV24" s="47"/>
      <c r="BW24" s="47"/>
      <c r="BX24" s="47"/>
      <c r="BY24" s="47"/>
      <c r="BZ24" s="47"/>
      <c r="CA24" s="47"/>
      <c r="CB24" s="47"/>
      <c r="CC24" s="47"/>
      <c r="CD24" s="47"/>
      <c r="CE24" s="47"/>
      <c r="CF24" s="47"/>
      <c r="CG24" s="47"/>
    </row>
    <row r="25" spans="1:85" x14ac:dyDescent="0.3">
      <c r="D25" s="25"/>
      <c r="E25" s="25"/>
      <c r="F25" s="25"/>
      <c r="G25" s="25"/>
      <c r="H25" s="25"/>
      <c r="I25" s="25"/>
      <c r="J25" s="25"/>
      <c r="K25" s="25"/>
      <c r="L25" s="25"/>
      <c r="M25" s="25"/>
      <c r="N25" s="25"/>
      <c r="P25" s="2"/>
      <c r="U25" s="25"/>
      <c r="V25" s="25"/>
      <c r="W25" s="25"/>
      <c r="X25" s="25"/>
      <c r="Y25" s="25"/>
      <c r="Z25" s="25"/>
      <c r="AA25" s="25"/>
      <c r="AB25" s="25"/>
      <c r="AC25" s="25"/>
      <c r="AD25" s="25"/>
      <c r="AE25" s="25"/>
      <c r="AH25" s="2"/>
      <c r="AR25" s="4">
        <f>SUM(Tableau5[16-oct])</f>
        <v>9176.5400000000009</v>
      </c>
      <c r="BG25" s="2"/>
      <c r="BO25" s="2"/>
      <c r="BP25" s="47"/>
      <c r="BQ25" s="47"/>
      <c r="BR25" s="47"/>
      <c r="BS25" s="47"/>
      <c r="BT25" s="47"/>
      <c r="BU25" s="47"/>
      <c r="BV25" s="47"/>
      <c r="BW25" s="47"/>
      <c r="BX25" s="47"/>
      <c r="BY25" s="47"/>
      <c r="BZ25" s="47"/>
      <c r="CA25" s="47"/>
      <c r="CB25" s="47"/>
      <c r="CC25" s="47"/>
      <c r="CD25" s="47"/>
      <c r="CE25" s="47"/>
      <c r="CF25" s="47"/>
      <c r="CG25" s="47"/>
    </row>
    <row r="26" spans="1:85" x14ac:dyDescent="0.3">
      <c r="D26" s="25"/>
      <c r="E26" s="25"/>
      <c r="F26" s="25"/>
      <c r="G26" s="25"/>
      <c r="H26" s="25"/>
      <c r="I26" s="25"/>
      <c r="J26" s="25"/>
      <c r="K26" s="25"/>
      <c r="L26" s="25"/>
      <c r="M26" s="25"/>
      <c r="N26" s="25"/>
      <c r="P26" s="2"/>
      <c r="U26" s="25"/>
      <c r="V26" s="25"/>
      <c r="W26" s="25"/>
      <c r="X26" s="25"/>
      <c r="Y26" s="25"/>
      <c r="Z26" s="25"/>
      <c r="AA26" s="25"/>
      <c r="AB26" s="25"/>
      <c r="AC26" s="25"/>
      <c r="AD26" s="25"/>
      <c r="AE26" s="25"/>
      <c r="AH26" s="2"/>
      <c r="BG26" s="2"/>
      <c r="BO26" s="2"/>
      <c r="BP26" s="47"/>
      <c r="BQ26" s="47"/>
      <c r="BR26" s="47"/>
      <c r="BS26" s="47"/>
      <c r="BT26" s="47"/>
      <c r="BU26" s="47"/>
      <c r="BV26" s="47"/>
      <c r="BW26" s="47"/>
      <c r="BX26" s="47"/>
      <c r="BY26" s="47"/>
      <c r="BZ26" s="47"/>
      <c r="CA26" s="47"/>
      <c r="CB26" s="47"/>
      <c r="CC26" s="47"/>
      <c r="CD26" s="47"/>
      <c r="CE26" s="47"/>
      <c r="CF26" s="47"/>
      <c r="CG26" s="47"/>
    </row>
    <row r="27" spans="1:85" ht="18" x14ac:dyDescent="0.35">
      <c r="A27" s="4" t="s">
        <v>23</v>
      </c>
      <c r="B27">
        <f>C22+D22+E22++G22+G23+H23+H22+J22+J23+K23+K22+M22+N22</f>
        <v>81775.200000000012</v>
      </c>
      <c r="C27" t="s">
        <v>24</v>
      </c>
      <c r="D27" s="11" t="s">
        <v>25</v>
      </c>
      <c r="H27" s="25"/>
      <c r="I27" s="25"/>
      <c r="J27" s="25"/>
      <c r="K27" s="25"/>
      <c r="L27" s="25"/>
      <c r="M27" s="25"/>
      <c r="N27" s="25"/>
      <c r="P27" s="2"/>
      <c r="R27" s="4" t="s">
        <v>23</v>
      </c>
      <c r="S27">
        <f>T21+U21+V21+X21+Y21+Y22+Y23+Y24+Z24+Z23+Z22+Z21+AB21+AC21+AE21+AF21</f>
        <v>103671.5</v>
      </c>
      <c r="T27" t="s">
        <v>24</v>
      </c>
      <c r="V27" s="11" t="s">
        <v>25</v>
      </c>
      <c r="AH27" s="2"/>
      <c r="AJ27" s="4" t="s">
        <v>23</v>
      </c>
      <c r="AK27" cm="1">
        <f t="array" ref="AK27">AL21+AM21+AN21+Tableau8[16-oct]+Tableau5[[#Totals],[16-oct]]+AT23+AV21+AW21+AX21+AY21+AY22</f>
        <v>97724.49000000002</v>
      </c>
      <c r="AL27" t="s">
        <v>24</v>
      </c>
      <c r="AN27" s="11" t="s">
        <v>25</v>
      </c>
      <c r="BG27" s="2"/>
      <c r="BO27" s="2"/>
      <c r="BP27" s="47"/>
      <c r="BQ27" s="47"/>
      <c r="BR27" s="47"/>
      <c r="BS27" s="47"/>
      <c r="BT27" s="47"/>
      <c r="BU27" s="47"/>
      <c r="BV27" s="47"/>
      <c r="BW27" s="47"/>
      <c r="BX27" s="47"/>
      <c r="BY27" s="47"/>
      <c r="BZ27" s="47"/>
      <c r="CA27" s="47"/>
      <c r="CB27" s="47"/>
      <c r="CC27" s="47"/>
      <c r="CD27" s="47"/>
      <c r="CE27" s="47"/>
      <c r="CF27" s="47"/>
      <c r="CG27" s="47"/>
    </row>
    <row r="28" spans="1:85" x14ac:dyDescent="0.3">
      <c r="A28" s="7" t="s">
        <v>26</v>
      </c>
      <c r="B28">
        <f>M23+N23</f>
        <v>293.21000000000004</v>
      </c>
      <c r="C28" t="s">
        <v>24</v>
      </c>
      <c r="P28" s="2"/>
      <c r="R28" s="7" t="s">
        <v>26</v>
      </c>
      <c r="S28">
        <f>AE22+AF22</f>
        <v>556.74</v>
      </c>
      <c r="T28" t="s">
        <v>24</v>
      </c>
      <c r="AH28" s="2"/>
      <c r="AJ28" s="7" t="s">
        <v>26</v>
      </c>
      <c r="AK28">
        <f>AM22+AV22+AW22+AW23+AX22+AX23+AY23</f>
        <v>1865.99</v>
      </c>
      <c r="AL28" t="s">
        <v>24</v>
      </c>
      <c r="BG28" s="2"/>
      <c r="BO28" s="2"/>
      <c r="BP28" s="47"/>
      <c r="BQ28" s="47"/>
      <c r="BR28" s="47"/>
      <c r="BS28" s="47"/>
      <c r="BT28" s="47"/>
      <c r="BU28" s="47"/>
      <c r="BV28" s="47"/>
      <c r="BW28" s="47"/>
      <c r="BX28" s="47"/>
      <c r="BY28" s="47"/>
      <c r="BZ28" s="47"/>
      <c r="CA28" s="47"/>
      <c r="CB28" s="47"/>
      <c r="CC28" s="47"/>
      <c r="CD28" s="47"/>
      <c r="CE28" s="47"/>
      <c r="CF28" s="47"/>
      <c r="CG28" s="47"/>
    </row>
    <row r="29" spans="1:85" x14ac:dyDescent="0.3">
      <c r="A29" s="19" t="s">
        <v>110</v>
      </c>
      <c r="B29">
        <f>M24+N24</f>
        <v>903.66000000000008</v>
      </c>
      <c r="E29" s="13" t="s">
        <v>14</v>
      </c>
      <c r="F29" s="14">
        <f>B27*3.1</f>
        <v>253503.12000000005</v>
      </c>
      <c r="G29" s="13" t="s">
        <v>28</v>
      </c>
      <c r="P29" s="2"/>
      <c r="R29" s="19" t="s">
        <v>110</v>
      </c>
      <c r="S29">
        <f>AE23+AF23</f>
        <v>934.33999999999992</v>
      </c>
      <c r="T29" t="s">
        <v>24</v>
      </c>
      <c r="W29" s="13" t="s">
        <v>14</v>
      </c>
      <c r="X29" s="14">
        <f>S27*3.1</f>
        <v>321381.65000000002</v>
      </c>
      <c r="Y29" s="13" t="s">
        <v>28</v>
      </c>
      <c r="AH29" s="2"/>
      <c r="AO29" s="13" t="s">
        <v>14</v>
      </c>
      <c r="AP29" s="14">
        <f>AK27*3.1</f>
        <v>302945.91900000005</v>
      </c>
      <c r="AQ29" s="13" t="s">
        <v>28</v>
      </c>
      <c r="BG29" s="2"/>
      <c r="BO29" s="2"/>
      <c r="BP29" s="47"/>
      <c r="BQ29" s="47"/>
      <c r="BR29" s="47"/>
      <c r="BS29" s="47"/>
      <c r="BT29" s="47"/>
      <c r="BU29" s="47"/>
      <c r="BV29" s="47"/>
      <c r="BW29" s="47"/>
      <c r="BX29" s="47"/>
      <c r="BY29" s="47"/>
      <c r="BZ29" s="47"/>
      <c r="CA29" s="47"/>
      <c r="CB29" s="47"/>
      <c r="CC29" s="47"/>
      <c r="CD29" s="47"/>
      <c r="CE29" s="47"/>
      <c r="CF29" s="47"/>
      <c r="CG29" s="47"/>
    </row>
    <row r="30" spans="1:85" x14ac:dyDescent="0.3">
      <c r="E30" s="13" t="s">
        <v>18</v>
      </c>
      <c r="F30" s="14">
        <f>B28*2.7</f>
        <v>791.66700000000014</v>
      </c>
      <c r="G30" s="13" t="s">
        <v>28</v>
      </c>
      <c r="P30" s="2"/>
      <c r="W30" s="13" t="s">
        <v>18</v>
      </c>
      <c r="X30" s="14">
        <f>S28*2.7</f>
        <v>1503.1980000000001</v>
      </c>
      <c r="Y30" s="13" t="s">
        <v>28</v>
      </c>
      <c r="AH30" s="2"/>
      <c r="AO30" s="13" t="s">
        <v>18</v>
      </c>
      <c r="AP30" s="14">
        <f>AK28*2.7</f>
        <v>5038.1730000000007</v>
      </c>
      <c r="AQ30" s="13" t="s">
        <v>28</v>
      </c>
      <c r="BG30" s="2"/>
      <c r="BO30" s="2"/>
      <c r="BP30" s="47"/>
      <c r="BQ30" s="47"/>
      <c r="BR30" s="47"/>
      <c r="BS30" s="47"/>
      <c r="BT30" s="47"/>
      <c r="BU30" s="47"/>
      <c r="BV30" s="47"/>
      <c r="BW30" s="47"/>
      <c r="BX30" s="47"/>
      <c r="BY30" s="47"/>
      <c r="BZ30" s="47"/>
      <c r="CA30" s="47"/>
      <c r="CB30" s="47"/>
      <c r="CC30" s="47"/>
      <c r="CD30" s="47"/>
      <c r="CE30" s="47"/>
      <c r="CF30" s="47"/>
      <c r="CG30" s="47"/>
    </row>
    <row r="31" spans="1:85" x14ac:dyDescent="0.3">
      <c r="E31" s="13" t="s">
        <v>111</v>
      </c>
      <c r="F31" s="13">
        <f>B29*1.11</f>
        <v>1003.0626000000002</v>
      </c>
      <c r="G31" s="13"/>
      <c r="P31" s="2"/>
      <c r="W31" s="13" t="s">
        <v>111</v>
      </c>
      <c r="X31" s="13">
        <f>S29*1.11</f>
        <v>1037.1174000000001</v>
      </c>
      <c r="Y31" s="13" t="s">
        <v>28</v>
      </c>
      <c r="AH31" s="2"/>
      <c r="AO31" s="13" t="s">
        <v>111</v>
      </c>
      <c r="AP31" s="13">
        <v>0</v>
      </c>
      <c r="AQ31" s="13" t="s">
        <v>28</v>
      </c>
      <c r="BG31" s="2"/>
      <c r="BO31" s="2"/>
      <c r="BP31" s="47"/>
      <c r="BQ31" s="47"/>
      <c r="BR31" s="47"/>
      <c r="BS31" s="47"/>
      <c r="BT31" s="47"/>
      <c r="BU31" s="47"/>
      <c r="BV31" s="47"/>
      <c r="BW31" s="47"/>
      <c r="BX31" s="47"/>
      <c r="BY31" s="47"/>
      <c r="BZ31" s="47"/>
      <c r="CA31" s="47"/>
      <c r="CB31" s="47"/>
      <c r="CC31" s="47"/>
      <c r="CD31" s="47"/>
      <c r="CE31" s="47"/>
      <c r="CF31" s="47"/>
      <c r="CG31" s="47"/>
    </row>
    <row r="32" spans="1:85" ht="15.6" x14ac:dyDescent="0.3">
      <c r="E32" s="13"/>
      <c r="F32" s="14"/>
      <c r="G32" s="13"/>
      <c r="P32" s="2"/>
      <c r="W32" s="13"/>
      <c r="X32" s="14"/>
      <c r="Y32" s="13"/>
      <c r="AH32" s="2"/>
      <c r="AO32" s="20" t="s">
        <v>4</v>
      </c>
      <c r="AP32" s="21">
        <f>AP29+AP30</f>
        <v>307984.09200000006</v>
      </c>
      <c r="AQ32" s="20" t="s">
        <v>28</v>
      </c>
      <c r="BG32" s="2"/>
      <c r="BO32" s="2"/>
      <c r="BP32" s="47"/>
      <c r="BQ32" s="47"/>
      <c r="BR32" s="47"/>
      <c r="BS32" s="47"/>
      <c r="BT32" s="47"/>
      <c r="BU32" s="47"/>
      <c r="BV32" s="47"/>
      <c r="BW32" s="47"/>
      <c r="BX32" s="47"/>
      <c r="BY32" s="47"/>
      <c r="BZ32" s="47"/>
      <c r="CA32" s="47"/>
      <c r="CB32" s="47"/>
      <c r="CC32" s="47"/>
      <c r="CD32" s="47"/>
      <c r="CE32" s="47"/>
      <c r="CF32" s="47"/>
      <c r="CG32" s="47"/>
    </row>
    <row r="33" spans="1:85" ht="15.6" x14ac:dyDescent="0.3">
      <c r="E33" s="20" t="s">
        <v>4</v>
      </c>
      <c r="F33" s="21">
        <f>F30+F31+F29</f>
        <v>255297.84960000005</v>
      </c>
      <c r="G33" s="20" t="s">
        <v>28</v>
      </c>
      <c r="P33" s="2"/>
      <c r="W33" s="20" t="s">
        <v>4</v>
      </c>
      <c r="X33" s="21">
        <f>X30+X31+X29</f>
        <v>323921.96540000004</v>
      </c>
      <c r="Y33" s="20" t="s">
        <v>28</v>
      </c>
      <c r="AH33" s="2"/>
      <c r="BG33" s="2"/>
      <c r="BO33" s="2"/>
      <c r="BP33" s="58"/>
      <c r="BQ33" s="47"/>
      <c r="BR33" s="47"/>
      <c r="BS33" s="47"/>
      <c r="BT33" s="47"/>
      <c r="BU33" s="47"/>
      <c r="BV33" s="47"/>
      <c r="BW33" s="47"/>
      <c r="BX33" s="47"/>
      <c r="BY33" s="47"/>
      <c r="BZ33" s="47"/>
      <c r="CA33" s="47"/>
      <c r="CB33" s="47"/>
      <c r="CC33" s="47"/>
      <c r="CD33" s="47"/>
      <c r="CE33" s="47"/>
      <c r="CF33" s="47"/>
      <c r="CG33" s="47"/>
    </row>
    <row r="34" spans="1:85" x14ac:dyDescent="0.3">
      <c r="P34" s="2"/>
      <c r="AH34" s="2"/>
      <c r="BG34" s="2"/>
      <c r="BO34" s="2"/>
      <c r="BP34" s="47"/>
      <c r="BQ34" s="47"/>
      <c r="BR34" s="47"/>
      <c r="BS34" s="47"/>
      <c r="BT34" s="47"/>
      <c r="BU34" s="47"/>
      <c r="BV34" s="47"/>
      <c r="BW34" s="47"/>
      <c r="BX34" s="47"/>
      <c r="BY34" s="47"/>
      <c r="BZ34" s="47"/>
      <c r="CA34" s="47"/>
      <c r="CB34" s="47"/>
      <c r="CC34" s="47"/>
      <c r="CD34" s="47"/>
      <c r="CE34" s="47"/>
      <c r="CF34" s="47"/>
      <c r="CG34" s="47"/>
    </row>
    <row r="35" spans="1:85" x14ac:dyDescent="0.3">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8"/>
      <c r="BQ35" s="28"/>
      <c r="BR35" s="28"/>
      <c r="BS35" s="28"/>
      <c r="BT35" s="28"/>
      <c r="BU35" s="28"/>
      <c r="BV35" s="28"/>
      <c r="BW35" s="28"/>
      <c r="BX35" s="28"/>
      <c r="BY35" s="28"/>
      <c r="BZ35" s="28"/>
      <c r="CA35" s="28"/>
      <c r="CB35" s="28"/>
      <c r="CC35" s="28"/>
      <c r="CD35" s="47"/>
      <c r="CE35" s="47"/>
      <c r="CF35" s="47"/>
      <c r="CG35" s="47"/>
    </row>
    <row r="36" spans="1:85" ht="18" x14ac:dyDescent="0.35">
      <c r="A36" s="5" t="s">
        <v>47</v>
      </c>
      <c r="C36" s="1" t="s">
        <v>1</v>
      </c>
      <c r="D36" s="1"/>
      <c r="E36" s="1"/>
      <c r="F36" s="1"/>
      <c r="G36" s="1" t="s">
        <v>3</v>
      </c>
      <c r="H36" s="1"/>
      <c r="I36" s="1"/>
      <c r="J36" s="1" t="s">
        <v>4</v>
      </c>
      <c r="K36" s="1"/>
      <c r="L36" s="1"/>
      <c r="M36" s="1" t="s">
        <v>5</v>
      </c>
      <c r="P36" s="2"/>
      <c r="Q36" s="5" t="s">
        <v>17</v>
      </c>
      <c r="T36" s="1" t="s">
        <v>1</v>
      </c>
      <c r="U36" s="1"/>
      <c r="V36" s="1"/>
      <c r="W36" s="1"/>
      <c r="X36" s="1" t="s">
        <v>3</v>
      </c>
      <c r="Y36" s="1"/>
      <c r="Z36" s="1"/>
      <c r="AA36" s="1" t="s">
        <v>4</v>
      </c>
      <c r="AB36" s="1"/>
      <c r="AC36" s="1"/>
      <c r="AD36" s="1" t="s">
        <v>5</v>
      </c>
      <c r="AE36" s="1"/>
      <c r="AH36" s="2"/>
      <c r="AI36" s="1" t="s">
        <v>34</v>
      </c>
      <c r="AN36" s="1" t="s">
        <v>1</v>
      </c>
      <c r="AO36" s="1"/>
      <c r="AP36" s="1"/>
      <c r="AQ36" s="1"/>
      <c r="AR36" s="1" t="s">
        <v>5</v>
      </c>
      <c r="AS36" s="1"/>
      <c r="AT36" s="1"/>
      <c r="AU36" s="1"/>
      <c r="AV36" s="1"/>
      <c r="AW36" s="1" t="s">
        <v>3</v>
      </c>
      <c r="AX36" s="1"/>
      <c r="AY36" s="1"/>
      <c r="AZ36" s="1" t="s">
        <v>4</v>
      </c>
      <c r="BA36" s="1"/>
      <c r="BB36" s="1"/>
      <c r="BC36" s="1"/>
      <c r="BD36" s="1" t="s">
        <v>2</v>
      </c>
      <c r="BG36" s="2"/>
      <c r="BH36" s="25"/>
      <c r="BI36" s="25"/>
      <c r="BJ36" s="25"/>
      <c r="BK36" s="25"/>
      <c r="BL36" s="25"/>
      <c r="BM36" s="25"/>
      <c r="BN36" s="25"/>
      <c r="BO36" s="25"/>
      <c r="BP36" s="25"/>
      <c r="BQ36" s="25"/>
      <c r="BR36" s="25"/>
      <c r="BS36" s="25"/>
      <c r="BT36" s="25"/>
      <c r="BU36" s="25"/>
      <c r="BV36" s="25"/>
      <c r="BW36" s="25"/>
      <c r="BX36" s="25"/>
      <c r="BY36" s="25"/>
      <c r="BZ36" s="25"/>
      <c r="CA36" s="25"/>
      <c r="CB36" s="25"/>
      <c r="CC36" s="28"/>
      <c r="CD36" s="47"/>
      <c r="CE36" s="47"/>
      <c r="CF36" s="47"/>
      <c r="CG36" s="47"/>
    </row>
    <row r="37" spans="1:85" x14ac:dyDescent="0.3">
      <c r="C37" s="3">
        <v>45361</v>
      </c>
      <c r="D37" s="49">
        <v>45371</v>
      </c>
      <c r="E37" s="49">
        <v>45382</v>
      </c>
      <c r="F37" s="25"/>
      <c r="G37" s="3">
        <v>45366</v>
      </c>
      <c r="H37" s="49">
        <v>45382</v>
      </c>
      <c r="I37" s="25"/>
      <c r="J37" s="49">
        <v>45366</v>
      </c>
      <c r="K37" s="3">
        <v>45382</v>
      </c>
      <c r="M37" s="3">
        <v>45366</v>
      </c>
      <c r="N37" s="3">
        <v>45382</v>
      </c>
      <c r="P37" s="2"/>
      <c r="T37" s="3">
        <v>45483</v>
      </c>
      <c r="U37" s="49">
        <v>45493</v>
      </c>
      <c r="V37" s="49">
        <v>45504</v>
      </c>
      <c r="W37" s="25"/>
      <c r="X37" s="49">
        <v>45488</v>
      </c>
      <c r="Y37" s="49">
        <v>45504</v>
      </c>
      <c r="Z37" s="25"/>
      <c r="AA37" s="49">
        <v>45458</v>
      </c>
      <c r="AB37" s="49">
        <v>45504</v>
      </c>
      <c r="AD37" s="3">
        <v>45488</v>
      </c>
      <c r="AE37" s="3">
        <v>45504</v>
      </c>
      <c r="AH37" s="2"/>
      <c r="AN37" s="3" t="s">
        <v>35</v>
      </c>
      <c r="AO37" s="3" t="s">
        <v>36</v>
      </c>
      <c r="AP37" s="3" t="s">
        <v>37</v>
      </c>
      <c r="AR37" s="3" t="s">
        <v>38</v>
      </c>
      <c r="AS37" s="3" t="s">
        <v>39</v>
      </c>
      <c r="AT37" s="3" t="s">
        <v>40</v>
      </c>
      <c r="AU37" s="3" t="s">
        <v>37</v>
      </c>
      <c r="AW37" s="3" t="s">
        <v>41</v>
      </c>
      <c r="AX37" s="3" t="s">
        <v>42</v>
      </c>
      <c r="AZ37" s="3" t="s">
        <v>38</v>
      </c>
      <c r="BA37" s="3" t="s">
        <v>39</v>
      </c>
      <c r="BB37" s="3" t="s">
        <v>37</v>
      </c>
      <c r="BD37" s="3" t="s">
        <v>41</v>
      </c>
      <c r="BE37" s="3" t="s">
        <v>42</v>
      </c>
      <c r="BG37" s="2"/>
      <c r="BH37" s="25"/>
      <c r="BI37" s="25"/>
      <c r="BJ37" s="25"/>
      <c r="BK37" s="25"/>
      <c r="BL37" s="25"/>
      <c r="BM37" s="25"/>
      <c r="BN37" s="25"/>
      <c r="BO37" s="25"/>
      <c r="BP37" s="25"/>
      <c r="BQ37" s="25"/>
      <c r="BR37" s="25"/>
      <c r="BS37" s="25"/>
      <c r="BT37" s="25"/>
      <c r="BU37" s="25"/>
      <c r="BV37" s="25"/>
      <c r="BW37" s="25"/>
      <c r="BX37" s="25"/>
      <c r="BY37" s="25"/>
      <c r="BZ37" s="25"/>
      <c r="CA37" s="25"/>
      <c r="CB37" s="25"/>
      <c r="CC37" s="28"/>
      <c r="CD37" s="47"/>
      <c r="CE37" s="47"/>
      <c r="CF37" s="47"/>
      <c r="CG37" s="47"/>
    </row>
    <row r="38" spans="1:85" x14ac:dyDescent="0.3">
      <c r="A38" s="4" t="s">
        <v>14</v>
      </c>
      <c r="C38" s="4">
        <v>938.21</v>
      </c>
      <c r="D38" s="4">
        <v>148.59</v>
      </c>
      <c r="E38" s="4">
        <v>618.72</v>
      </c>
      <c r="F38" s="25"/>
      <c r="G38" s="4">
        <v>4604.47</v>
      </c>
      <c r="H38" s="4">
        <v>5643.34</v>
      </c>
      <c r="I38" s="25"/>
      <c r="J38" s="4">
        <f>982.18</f>
        <v>982.18</v>
      </c>
      <c r="K38" s="4">
        <v>469.06</v>
      </c>
      <c r="M38" s="4">
        <f>1464.34+32814.96+1047.6</f>
        <v>35326.899999999994</v>
      </c>
      <c r="N38" s="4">
        <v>38002.07</v>
      </c>
      <c r="P38" s="2"/>
      <c r="R38" s="4" t="s">
        <v>14</v>
      </c>
      <c r="T38" s="4">
        <v>1924.5</v>
      </c>
      <c r="U38" s="4">
        <v>1454.43</v>
      </c>
      <c r="V38" s="4">
        <v>936.43</v>
      </c>
      <c r="W38" s="25"/>
      <c r="X38" s="4">
        <v>213.64</v>
      </c>
      <c r="Y38" s="4">
        <v>200</v>
      </c>
      <c r="Z38" s="25"/>
      <c r="AA38" s="4">
        <v>930.01</v>
      </c>
      <c r="AB38" s="4">
        <v>807.1</v>
      </c>
      <c r="AD38" s="4">
        <f>1816.33+19215.9+185</f>
        <v>21217.230000000003</v>
      </c>
      <c r="AE38" s="4">
        <f>1061.88+742.45+15448.33+1074.99</f>
        <v>18327.650000000001</v>
      </c>
      <c r="AH38" s="2"/>
      <c r="AJ38" s="4" t="s">
        <v>14</v>
      </c>
      <c r="AN38" s="4">
        <v>1964.04</v>
      </c>
      <c r="AO38" s="4">
        <v>1759.19</v>
      </c>
      <c r="AP38" s="4">
        <v>3514.13</v>
      </c>
      <c r="AR38" s="4">
        <v>19095.580000000002</v>
      </c>
      <c r="AS38" s="4">
        <f>27368.17+255+37900</f>
        <v>65523.17</v>
      </c>
      <c r="AT38" s="4">
        <f>34349.92</f>
        <v>34349.919999999998</v>
      </c>
      <c r="AU38" s="4">
        <f>22393.37+774.99</f>
        <v>23168.36</v>
      </c>
      <c r="AW38">
        <v>2425.73</v>
      </c>
      <c r="AX38">
        <v>1708.72</v>
      </c>
      <c r="AZ38">
        <v>1574.93</v>
      </c>
      <c r="BA38">
        <v>1037.51</v>
      </c>
      <c r="BB38">
        <v>1405.24</v>
      </c>
      <c r="BD38">
        <v>130</v>
      </c>
      <c r="BE38">
        <v>185.58</v>
      </c>
      <c r="BG38" s="2"/>
      <c r="BH38" s="25"/>
      <c r="BI38" s="25"/>
      <c r="BJ38" s="25"/>
      <c r="BK38" s="25"/>
      <c r="BL38" s="25"/>
      <c r="BM38" s="25"/>
      <c r="BN38" s="25"/>
      <c r="BO38" s="25"/>
      <c r="BP38" s="25"/>
      <c r="BQ38" s="25"/>
      <c r="BR38" s="25"/>
      <c r="BS38" s="25"/>
      <c r="BT38" s="25"/>
      <c r="BU38" s="25"/>
      <c r="BV38" s="25"/>
      <c r="BW38" s="25"/>
      <c r="BX38" s="25"/>
      <c r="BY38" s="25"/>
      <c r="BZ38" s="25"/>
      <c r="CA38" s="25"/>
      <c r="CB38" s="25"/>
      <c r="CC38" s="28"/>
      <c r="CD38" s="47"/>
      <c r="CE38" s="47"/>
      <c r="CF38" s="47"/>
      <c r="CG38" s="47"/>
    </row>
    <row r="39" spans="1:85" x14ac:dyDescent="0.3">
      <c r="A39" s="7" t="s">
        <v>18</v>
      </c>
      <c r="D39" s="25"/>
      <c r="E39" s="25"/>
      <c r="F39" s="25"/>
      <c r="G39" s="4">
        <v>6734.74</v>
      </c>
      <c r="H39" s="4">
        <v>6958.57</v>
      </c>
      <c r="I39" s="25"/>
      <c r="J39" s="7">
        <v>20.190000000000001</v>
      </c>
      <c r="K39" s="7">
        <v>56.79</v>
      </c>
      <c r="M39" s="7">
        <f>71.17+392.75+134.66</f>
        <v>598.58000000000004</v>
      </c>
      <c r="N39" s="7">
        <f>421.32+115.2</f>
        <v>536.52</v>
      </c>
      <c r="P39" s="2"/>
      <c r="R39" s="7" t="s">
        <v>18</v>
      </c>
      <c r="U39" s="25"/>
      <c r="V39" s="25"/>
      <c r="W39" s="25"/>
      <c r="X39" s="4">
        <v>2358.44</v>
      </c>
      <c r="Y39" s="4">
        <v>2184.8000000000002</v>
      </c>
      <c r="Z39" s="25"/>
      <c r="AA39" s="7">
        <v>55.27</v>
      </c>
      <c r="AB39" s="7"/>
      <c r="AD39" s="7">
        <f>216.53+50.26</f>
        <v>266.79000000000002</v>
      </c>
      <c r="AE39" s="7">
        <v>129.53</v>
      </c>
      <c r="AH39" s="2"/>
      <c r="AJ39" s="7" t="s">
        <v>18</v>
      </c>
      <c r="AR39" s="7">
        <f>477.75+35.55</f>
        <v>513.29999999999995</v>
      </c>
      <c r="AS39" s="7">
        <f>22.58+392.98</f>
        <v>415.56</v>
      </c>
      <c r="AT39" s="7">
        <f>29.01+311.44+131.37</f>
        <v>471.82</v>
      </c>
      <c r="AU39" s="7">
        <f>29+333.33</f>
        <v>362.33</v>
      </c>
      <c r="AW39">
        <v>1367.84</v>
      </c>
      <c r="AX39">
        <v>809.96</v>
      </c>
      <c r="AZ39">
        <v>69.55</v>
      </c>
      <c r="BD39">
        <v>258.33999999999997</v>
      </c>
      <c r="BE39">
        <v>102.8</v>
      </c>
      <c r="BG39" s="2"/>
      <c r="BH39" s="25"/>
      <c r="BI39" s="25"/>
      <c r="BJ39" s="25"/>
      <c r="BK39" s="25"/>
      <c r="BL39" s="25"/>
      <c r="BM39" s="25"/>
      <c r="BN39" s="25"/>
      <c r="BO39" s="25"/>
      <c r="BP39" s="25"/>
      <c r="BQ39" s="25"/>
      <c r="BR39" s="25"/>
      <c r="BS39" s="25"/>
      <c r="BT39" s="25"/>
      <c r="BU39" s="25"/>
      <c r="BV39" s="25"/>
      <c r="BW39" s="25"/>
      <c r="BX39" s="25"/>
      <c r="BY39" s="25"/>
      <c r="BZ39" s="25"/>
      <c r="CA39" s="25"/>
      <c r="CB39" s="25"/>
      <c r="CC39" s="28"/>
      <c r="CD39" s="47"/>
      <c r="CE39" s="47"/>
      <c r="CF39" s="47"/>
      <c r="CG39" s="47"/>
    </row>
    <row r="40" spans="1:85" x14ac:dyDescent="0.3">
      <c r="A40" s="19" t="s">
        <v>106</v>
      </c>
      <c r="D40" s="25"/>
      <c r="E40" s="25"/>
      <c r="F40" s="25"/>
      <c r="G40" s="25">
        <v>2107.12</v>
      </c>
      <c r="H40" s="25">
        <v>3754.55</v>
      </c>
      <c r="I40" s="25"/>
      <c r="J40" s="25"/>
      <c r="M40" s="19">
        <v>443.12</v>
      </c>
      <c r="N40" s="19">
        <v>517.13</v>
      </c>
      <c r="P40" s="2"/>
      <c r="R40" s="19" t="s">
        <v>106</v>
      </c>
      <c r="U40" s="25"/>
      <c r="V40" s="25"/>
      <c r="W40" s="25"/>
      <c r="X40" s="4">
        <v>3925.83</v>
      </c>
      <c r="Y40" s="4">
        <v>1978.83</v>
      </c>
      <c r="Z40" s="25"/>
      <c r="AA40" s="25"/>
      <c r="AD40" s="19">
        <v>232.96</v>
      </c>
      <c r="AE40" s="19">
        <v>383.04</v>
      </c>
      <c r="AH40" s="2"/>
      <c r="AW40">
        <v>1163.8900000000001</v>
      </c>
      <c r="AX40">
        <v>711.19</v>
      </c>
      <c r="AZ40">
        <v>352.68</v>
      </c>
      <c r="BD40">
        <v>198</v>
      </c>
      <c r="BE40">
        <v>120</v>
      </c>
      <c r="BG40" s="2"/>
      <c r="BH40" s="25"/>
      <c r="BI40" s="25"/>
      <c r="BJ40" s="25"/>
      <c r="BK40" s="25"/>
      <c r="BL40" s="25"/>
      <c r="BM40" s="25"/>
      <c r="BN40" s="25"/>
      <c r="BO40" s="25"/>
      <c r="BP40" s="25"/>
      <c r="BQ40" s="25"/>
      <c r="BR40" s="25"/>
      <c r="BS40" s="25"/>
      <c r="BT40" s="25"/>
      <c r="BU40" s="25"/>
      <c r="BV40" s="25"/>
      <c r="BW40" s="25"/>
      <c r="BX40" s="25"/>
      <c r="BY40" s="25"/>
      <c r="BZ40" s="25"/>
      <c r="CA40" s="25"/>
      <c r="CB40" s="25"/>
      <c r="CC40" s="28"/>
      <c r="CD40" s="47"/>
      <c r="CE40" s="47"/>
      <c r="CF40" s="47"/>
      <c r="CG40" s="47"/>
    </row>
    <row r="41" spans="1:85" x14ac:dyDescent="0.3">
      <c r="D41" s="25"/>
      <c r="E41" s="25"/>
      <c r="F41" s="25"/>
      <c r="G41" s="25"/>
      <c r="H41" s="25"/>
      <c r="I41" s="25"/>
      <c r="J41" s="25"/>
      <c r="K41" s="25"/>
      <c r="L41" s="25"/>
      <c r="M41" s="25"/>
      <c r="N41" s="25"/>
      <c r="P41" s="2"/>
      <c r="U41" s="25"/>
      <c r="V41" s="25"/>
      <c r="W41" s="25"/>
      <c r="X41" s="4">
        <v>1821.09</v>
      </c>
      <c r="Y41" s="4">
        <v>1036.83</v>
      </c>
      <c r="Z41" s="25"/>
      <c r="AA41" s="25"/>
      <c r="AH41" s="2"/>
      <c r="AW41">
        <v>2871.02</v>
      </c>
      <c r="AX41">
        <v>1489.71</v>
      </c>
      <c r="AZ41" s="4">
        <f>SUM(Tableau11[08-nov])</f>
        <v>1997.16</v>
      </c>
      <c r="BA41" s="4">
        <f>SUM(Tableau12[15-nov])</f>
        <v>1037.51</v>
      </c>
      <c r="BB41" s="4">
        <f>SUM(Tableau12[30-nov])</f>
        <v>1405.24</v>
      </c>
      <c r="BD41">
        <v>240</v>
      </c>
      <c r="BE41">
        <v>123.29</v>
      </c>
      <c r="BG41" s="2"/>
      <c r="BH41" s="25"/>
      <c r="BI41" s="25"/>
      <c r="BJ41" s="25"/>
      <c r="BK41" s="25"/>
      <c r="BL41" s="25"/>
      <c r="BM41" s="25"/>
      <c r="BN41" s="25"/>
      <c r="BO41" s="25"/>
      <c r="BP41" s="25"/>
      <c r="BQ41" s="25"/>
      <c r="BR41" s="25"/>
      <c r="BS41" s="25"/>
      <c r="BT41" s="25"/>
      <c r="BU41" s="25"/>
      <c r="BV41" s="25"/>
      <c r="BW41" s="25"/>
      <c r="BX41" s="25"/>
      <c r="BY41" s="25"/>
      <c r="BZ41" s="25"/>
      <c r="CA41" s="25"/>
      <c r="CB41" s="25"/>
      <c r="CC41" s="28"/>
      <c r="CD41" s="47"/>
      <c r="CE41" s="47"/>
      <c r="CF41" s="47"/>
      <c r="CG41" s="47"/>
    </row>
    <row r="42" spans="1:85" ht="18" x14ac:dyDescent="0.35">
      <c r="A42" s="4" t="s">
        <v>23</v>
      </c>
      <c r="B42">
        <f>C38+D38+E38+G38+H38+H39+G39+G40+H40+J38+K38+M38+N38</f>
        <v>106288.51999999999</v>
      </c>
      <c r="C42" t="s">
        <v>24</v>
      </c>
      <c r="D42" s="11" t="s">
        <v>25</v>
      </c>
      <c r="I42" s="25"/>
      <c r="J42" s="25"/>
      <c r="K42" s="25"/>
      <c r="L42" s="25"/>
      <c r="M42" s="25"/>
      <c r="N42" s="25"/>
      <c r="P42" s="2"/>
      <c r="U42" s="25"/>
      <c r="V42" s="25"/>
      <c r="W42" s="25"/>
      <c r="X42" s="25"/>
      <c r="Y42" s="25"/>
      <c r="Z42" s="25"/>
      <c r="AA42" s="25"/>
      <c r="AH42" s="2"/>
      <c r="AW42" s="4">
        <f>SUM(Tableau13[02-nov])</f>
        <v>7828.48</v>
      </c>
      <c r="AX42" s="4">
        <f>SUM(Tableau13[16-nov])</f>
        <v>4719.58</v>
      </c>
      <c r="BD42">
        <v>131</v>
      </c>
      <c r="BE42">
        <v>185</v>
      </c>
      <c r="BG42" s="2"/>
      <c r="BH42" s="25"/>
      <c r="BI42" s="25"/>
      <c r="BJ42" s="25"/>
      <c r="BK42" s="25"/>
      <c r="BL42" s="25"/>
      <c r="BM42" s="25"/>
      <c r="BN42" s="25"/>
      <c r="BO42" s="25"/>
      <c r="BP42" s="25"/>
      <c r="BQ42" s="25"/>
      <c r="BR42" s="25"/>
      <c r="BS42" s="25"/>
      <c r="BT42" s="25"/>
      <c r="BU42" s="25"/>
      <c r="BV42" s="25"/>
      <c r="BW42" s="25"/>
      <c r="BX42" s="25"/>
      <c r="BY42" s="25"/>
      <c r="BZ42" s="25"/>
      <c r="CA42" s="25"/>
      <c r="CB42" s="25"/>
      <c r="CC42" s="28"/>
      <c r="CD42" s="47"/>
      <c r="CE42" s="47"/>
      <c r="CF42" s="47"/>
      <c r="CG42" s="47"/>
    </row>
    <row r="43" spans="1:85" ht="18" x14ac:dyDescent="0.35">
      <c r="A43" s="7" t="s">
        <v>26</v>
      </c>
      <c r="B43">
        <f>J39+K39+M39+N39</f>
        <v>1212.08</v>
      </c>
      <c r="C43" t="s">
        <v>24</v>
      </c>
      <c r="I43" s="25"/>
      <c r="J43" s="25"/>
      <c r="K43" s="25"/>
      <c r="L43" s="25"/>
      <c r="M43" s="25"/>
      <c r="N43" s="25"/>
      <c r="P43" s="2"/>
      <c r="R43" s="4" t="s">
        <v>23</v>
      </c>
      <c r="S43">
        <f>T38+U38+V38+X38+X39+X41+X40+Y41+Y40+Y39+Y38+AA38+AB38+AD38+AE38</f>
        <v>59316.810000000005</v>
      </c>
      <c r="T43" t="s">
        <v>24</v>
      </c>
      <c r="V43" s="11" t="s">
        <v>25</v>
      </c>
      <c r="Z43" s="25"/>
      <c r="AA43" s="25"/>
      <c r="AB43" s="25"/>
      <c r="AC43" s="25"/>
      <c r="AD43" s="25"/>
      <c r="AE43" s="25"/>
      <c r="AH43" s="2"/>
      <c r="BD43">
        <v>140.35</v>
      </c>
      <c r="BE43">
        <v>178</v>
      </c>
      <c r="BG43" s="2"/>
      <c r="BH43" s="25"/>
      <c r="BI43" s="25"/>
      <c r="BJ43" s="25"/>
      <c r="BK43" s="25"/>
      <c r="BL43" s="25"/>
      <c r="BM43" s="25"/>
      <c r="BN43" s="25"/>
      <c r="BO43" s="25"/>
      <c r="BP43" s="25"/>
      <c r="BQ43" s="25"/>
      <c r="BR43" s="25"/>
      <c r="BS43" s="25"/>
      <c r="BT43" s="25"/>
      <c r="BU43" s="25"/>
      <c r="BV43" s="25"/>
      <c r="BW43" s="25"/>
      <c r="BX43" s="25"/>
      <c r="BY43" s="25"/>
      <c r="BZ43" s="25"/>
      <c r="CA43" s="25"/>
      <c r="CB43" s="25"/>
      <c r="CC43" s="28"/>
      <c r="CD43" s="47"/>
      <c r="CE43" s="47"/>
      <c r="CF43" s="47"/>
      <c r="CG43" s="47"/>
    </row>
    <row r="44" spans="1:85" ht="18" x14ac:dyDescent="0.35">
      <c r="A44" s="19" t="s">
        <v>110</v>
      </c>
      <c r="B44">
        <f>M40+N40</f>
        <v>960.25</v>
      </c>
      <c r="E44" s="13" t="s">
        <v>14</v>
      </c>
      <c r="F44" s="14">
        <f>B42*3.1</f>
        <v>329494.41199999995</v>
      </c>
      <c r="G44" s="13" t="s">
        <v>28</v>
      </c>
      <c r="P44" s="2"/>
      <c r="R44" s="7" t="s">
        <v>26</v>
      </c>
      <c r="S44">
        <f>AA39+AD39+AE39</f>
        <v>451.59000000000003</v>
      </c>
      <c r="T44" t="s">
        <v>24</v>
      </c>
      <c r="AH44" s="2"/>
      <c r="AJ44" s="4" t="s">
        <v>23</v>
      </c>
      <c r="AK44" cm="1">
        <f t="array" ref="AK44">Tableau14[10-nov]+Tableau14[20-nov]+Tableau14[30-nov]+BD48+BE48+Tableau13[[#Totals],[02-nov]]+Tableau13[[#Totals],[16-nov]]+Tableau11[[#Totals],[08-nov]]+BA41+BB41+AR38+AS38+AT38+AU38</f>
        <v>169054.83999999997</v>
      </c>
      <c r="AL44" t="s">
        <v>24</v>
      </c>
      <c r="AN44" s="11" t="s">
        <v>25</v>
      </c>
      <c r="BD44">
        <v>81.56</v>
      </c>
      <c r="BE44">
        <v>118.44</v>
      </c>
      <c r="BG44" s="2"/>
      <c r="BH44" s="25"/>
      <c r="BI44" s="25"/>
      <c r="BJ44" s="25"/>
      <c r="BK44" s="25"/>
      <c r="BL44" s="25"/>
      <c r="BM44" s="25"/>
      <c r="BN44" s="25"/>
      <c r="BO44" s="25"/>
      <c r="BP44" s="25"/>
      <c r="BQ44" s="25"/>
      <c r="BR44" s="25"/>
      <c r="BS44" s="25"/>
      <c r="BT44" s="25"/>
      <c r="BU44" s="25"/>
      <c r="BV44" s="25"/>
      <c r="BW44" s="25"/>
      <c r="BX44" s="25"/>
      <c r="BY44" s="25"/>
      <c r="BZ44" s="25"/>
      <c r="CA44" s="25"/>
      <c r="CB44" s="25"/>
      <c r="CC44" s="28"/>
      <c r="CD44" s="47"/>
      <c r="CE44" s="47"/>
      <c r="CF44" s="47"/>
      <c r="CG44" s="47"/>
    </row>
    <row r="45" spans="1:85" x14ac:dyDescent="0.3">
      <c r="E45" s="13" t="s">
        <v>18</v>
      </c>
      <c r="F45" s="14">
        <f>B43*2.7</f>
        <v>3272.616</v>
      </c>
      <c r="G45" s="13" t="s">
        <v>28</v>
      </c>
      <c r="P45" s="2"/>
      <c r="R45" s="19" t="s">
        <v>110</v>
      </c>
      <c r="S45">
        <f>AD40+AE40</f>
        <v>616</v>
      </c>
      <c r="T45" s="35" t="s">
        <v>24</v>
      </c>
      <c r="W45" s="13" t="s">
        <v>14</v>
      </c>
      <c r="X45" s="14">
        <f>S43*3.1</f>
        <v>183882.11100000003</v>
      </c>
      <c r="Y45" s="13" t="s">
        <v>28</v>
      </c>
      <c r="AH45" s="2"/>
      <c r="AJ45" s="7" t="s">
        <v>26</v>
      </c>
      <c r="AK45">
        <f>AR39+AS39+AT39+AU39</f>
        <v>1763.0099999999998</v>
      </c>
      <c r="AL45" t="s">
        <v>24</v>
      </c>
      <c r="BE45">
        <v>267.14</v>
      </c>
      <c r="BG45" s="2"/>
      <c r="BH45" s="25"/>
      <c r="BI45" s="25"/>
      <c r="BJ45" s="25"/>
      <c r="BK45" s="25"/>
      <c r="BL45" s="25"/>
      <c r="BM45" s="25"/>
      <c r="BN45" s="25"/>
      <c r="BO45" s="25"/>
      <c r="BP45" s="25"/>
      <c r="BQ45" s="25"/>
      <c r="BR45" s="25"/>
      <c r="BS45" s="25"/>
      <c r="BT45" s="25"/>
      <c r="BU45" s="25"/>
      <c r="BV45" s="25"/>
      <c r="BW45" s="25"/>
      <c r="BX45" s="25"/>
      <c r="BY45" s="25"/>
      <c r="BZ45" s="25"/>
      <c r="CA45" s="25"/>
      <c r="CB45" s="25"/>
      <c r="CC45" s="28"/>
      <c r="CD45" s="47"/>
      <c r="CE45" s="47"/>
      <c r="CF45" s="47"/>
      <c r="CG45" s="47"/>
    </row>
    <row r="46" spans="1:85" x14ac:dyDescent="0.3">
      <c r="E46" s="13" t="s">
        <v>111</v>
      </c>
      <c r="F46" s="13">
        <f>B44*1.11</f>
        <v>1065.8775000000001</v>
      </c>
      <c r="G46" s="13"/>
      <c r="P46" s="2"/>
      <c r="W46" s="13" t="s">
        <v>18</v>
      </c>
      <c r="X46" s="14">
        <f>S44*2.7</f>
        <v>1219.2930000000001</v>
      </c>
      <c r="Y46" s="13" t="s">
        <v>28</v>
      </c>
      <c r="AH46" s="2"/>
      <c r="AO46" s="13" t="s">
        <v>14</v>
      </c>
      <c r="AP46" s="14">
        <f>AK44*3.1</f>
        <v>524070.0039999999</v>
      </c>
      <c r="AQ46" s="13" t="s">
        <v>28</v>
      </c>
      <c r="BE46">
        <v>118.98</v>
      </c>
      <c r="BG46" s="2"/>
      <c r="BH46" s="25"/>
      <c r="BI46" s="25"/>
      <c r="BJ46" s="25"/>
      <c r="BK46" s="25"/>
      <c r="BL46" s="25"/>
      <c r="BM46" s="25"/>
      <c r="BN46" s="25"/>
      <c r="BO46" s="25"/>
      <c r="BP46" s="25"/>
      <c r="BQ46" s="25"/>
      <c r="BR46" s="25"/>
      <c r="BS46" s="25"/>
      <c r="BT46" s="25"/>
      <c r="BU46" s="25"/>
      <c r="BV46" s="25"/>
      <c r="BW46" s="25"/>
      <c r="BX46" s="25"/>
      <c r="BY46" s="25"/>
      <c r="BZ46" s="25"/>
      <c r="CA46" s="25"/>
      <c r="CB46" s="25"/>
      <c r="CC46" s="28"/>
      <c r="CD46" s="47"/>
      <c r="CE46" s="47"/>
      <c r="CF46" s="47"/>
      <c r="CG46" s="47"/>
    </row>
    <row r="47" spans="1:85" x14ac:dyDescent="0.3">
      <c r="E47" s="13"/>
      <c r="F47" s="14"/>
      <c r="G47" s="13"/>
      <c r="P47" s="2"/>
      <c r="W47" s="13" t="s">
        <v>111</v>
      </c>
      <c r="X47" s="13">
        <f>S45*1.11</f>
        <v>683.7600000000001</v>
      </c>
      <c r="Y47" s="13" t="s">
        <v>28</v>
      </c>
      <c r="AH47" s="2"/>
      <c r="AO47" s="13" t="s">
        <v>18</v>
      </c>
      <c r="AP47" s="14">
        <f>AK45*2.7</f>
        <v>4760.1269999999995</v>
      </c>
      <c r="AQ47" s="13" t="s">
        <v>28</v>
      </c>
      <c r="BE47">
        <v>114</v>
      </c>
      <c r="BG47" s="2"/>
      <c r="BH47" s="25"/>
      <c r="BI47" s="25"/>
      <c r="BJ47" s="25"/>
      <c r="BK47" s="25"/>
      <c r="BL47" s="25"/>
      <c r="BM47" s="25"/>
      <c r="BN47" s="25"/>
      <c r="BO47" s="25"/>
      <c r="BP47" s="25"/>
      <c r="BQ47" s="25"/>
      <c r="BR47" s="25"/>
      <c r="BS47" s="25"/>
      <c r="BT47" s="25"/>
      <c r="BU47" s="25"/>
      <c r="BV47" s="25"/>
      <c r="BW47" s="25"/>
      <c r="BX47" s="25"/>
      <c r="BY47" s="25"/>
      <c r="BZ47" s="25"/>
      <c r="CA47" s="25"/>
      <c r="CB47" s="25"/>
      <c r="CC47" s="28"/>
      <c r="CD47" s="47"/>
      <c r="CE47" s="47"/>
      <c r="CF47" s="47"/>
      <c r="CG47" s="47"/>
    </row>
    <row r="48" spans="1:85" ht="15.6" x14ac:dyDescent="0.3">
      <c r="E48" s="20" t="s">
        <v>4</v>
      </c>
      <c r="F48" s="21">
        <f>F45+F46+F44</f>
        <v>333832.90549999994</v>
      </c>
      <c r="G48" s="20" t="s">
        <v>28</v>
      </c>
      <c r="P48" s="2"/>
      <c r="W48" s="13"/>
      <c r="X48" s="14"/>
      <c r="Y48" s="13"/>
      <c r="AH48" s="2"/>
      <c r="AO48" s="13" t="s">
        <v>111</v>
      </c>
      <c r="AP48" s="13">
        <v>0</v>
      </c>
      <c r="AQ48" s="13" t="s">
        <v>28</v>
      </c>
      <c r="BD48" s="4">
        <f>SUM(BD38:BD47)</f>
        <v>1179.2499999999998</v>
      </c>
      <c r="BE48" s="4">
        <f>SUM(BE38:BE47)</f>
        <v>1513.23</v>
      </c>
      <c r="BG48" s="2"/>
      <c r="BH48" s="25"/>
      <c r="BI48" s="25"/>
      <c r="BJ48" s="25"/>
      <c r="BK48" s="25"/>
      <c r="BL48" s="25"/>
      <c r="BM48" s="25"/>
      <c r="BN48" s="25"/>
      <c r="BO48" s="25"/>
      <c r="BP48" s="25"/>
      <c r="BQ48" s="25"/>
      <c r="BR48" s="25"/>
      <c r="BS48" s="25"/>
      <c r="BT48" s="25"/>
      <c r="BU48" s="25"/>
      <c r="BV48" s="25"/>
      <c r="BW48" s="25"/>
      <c r="BX48" s="25"/>
      <c r="BY48" s="25"/>
      <c r="BZ48" s="25"/>
      <c r="CA48" s="25"/>
      <c r="CB48" s="25"/>
      <c r="CC48" s="28"/>
      <c r="CD48" s="47"/>
      <c r="CE48" s="47"/>
      <c r="CF48" s="47"/>
      <c r="CG48" s="47"/>
    </row>
    <row r="49" spans="1:85" ht="15.6" x14ac:dyDescent="0.3">
      <c r="P49" s="2"/>
      <c r="W49" s="20" t="s">
        <v>4</v>
      </c>
      <c r="X49" s="21">
        <f>X46+X47+X45</f>
        <v>185785.16400000005</v>
      </c>
      <c r="Y49" s="20" t="s">
        <v>28</v>
      </c>
      <c r="AH49" s="2"/>
      <c r="AO49" s="20" t="s">
        <v>4</v>
      </c>
      <c r="AP49" s="21">
        <f>AP46+AP47</f>
        <v>528830.13099999994</v>
      </c>
      <c r="AQ49" s="20" t="s">
        <v>28</v>
      </c>
      <c r="BG49" s="2"/>
      <c r="BH49" s="25"/>
      <c r="BI49" s="25"/>
      <c r="BJ49" s="25"/>
      <c r="BK49" s="25"/>
      <c r="BL49" s="25"/>
      <c r="BM49" s="25"/>
      <c r="BN49" s="25"/>
      <c r="BO49" s="25"/>
      <c r="BP49" s="25"/>
      <c r="BQ49" s="25"/>
      <c r="BR49" s="25"/>
      <c r="BS49" s="25"/>
      <c r="BT49" s="25"/>
      <c r="BU49" s="25"/>
      <c r="BV49" s="25"/>
      <c r="BW49" s="25"/>
      <c r="BX49" s="25"/>
      <c r="BY49" s="25"/>
      <c r="BZ49" s="25"/>
      <c r="CA49" s="25"/>
      <c r="CB49" s="25"/>
      <c r="CC49" s="28"/>
      <c r="CD49" s="47"/>
      <c r="CE49" s="47"/>
      <c r="CF49" s="47"/>
      <c r="CG49" s="47"/>
    </row>
    <row r="50" spans="1:85" x14ac:dyDescent="0.3">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5"/>
      <c r="BI50" s="25"/>
      <c r="BJ50" s="25"/>
      <c r="BK50" s="25"/>
      <c r="BL50" s="25"/>
      <c r="BM50" s="25"/>
      <c r="BN50" s="25"/>
      <c r="BO50" s="25"/>
      <c r="BP50" s="25"/>
      <c r="BQ50" s="25"/>
      <c r="BR50" s="25"/>
      <c r="BS50" s="25"/>
      <c r="BT50" s="25"/>
      <c r="BU50" s="25"/>
      <c r="BV50" s="25"/>
      <c r="BW50" s="25"/>
      <c r="BX50" s="25"/>
      <c r="BY50" s="25"/>
      <c r="BZ50" s="25"/>
      <c r="CA50" s="25"/>
      <c r="CB50" s="25"/>
      <c r="CC50" s="28"/>
      <c r="CD50" s="47"/>
      <c r="CE50" s="47"/>
      <c r="CF50" s="47"/>
      <c r="CG50" s="47"/>
    </row>
    <row r="51" spans="1:85" ht="18" x14ac:dyDescent="0.35">
      <c r="A51" s="5" t="s">
        <v>16</v>
      </c>
      <c r="C51" s="1" t="s">
        <v>1</v>
      </c>
      <c r="D51" s="1"/>
      <c r="E51" s="1"/>
      <c r="F51" s="1"/>
      <c r="G51" s="1" t="s">
        <v>3</v>
      </c>
      <c r="H51" s="1"/>
      <c r="I51" s="1"/>
      <c r="J51" s="1" t="s">
        <v>4</v>
      </c>
      <c r="K51" s="1"/>
      <c r="L51" s="1"/>
      <c r="M51" s="1" t="s">
        <v>5</v>
      </c>
      <c r="P51" s="2"/>
      <c r="Q51" s="1" t="s">
        <v>45</v>
      </c>
      <c r="T51" s="1" t="s">
        <v>1</v>
      </c>
      <c r="U51" s="1"/>
      <c r="V51" s="1"/>
      <c r="W51" s="1"/>
      <c r="X51" s="1" t="s">
        <v>3</v>
      </c>
      <c r="Y51" s="1"/>
      <c r="Z51" s="1"/>
      <c r="AA51" s="1" t="s">
        <v>4</v>
      </c>
      <c r="AB51" s="1"/>
      <c r="AC51" s="1"/>
      <c r="AD51" s="1" t="s">
        <v>5</v>
      </c>
      <c r="AE51" s="1"/>
      <c r="AH51" s="2"/>
      <c r="AI51" s="1" t="s">
        <v>46</v>
      </c>
      <c r="BG51" s="2"/>
      <c r="BH51" s="25"/>
      <c r="BI51" s="25"/>
      <c r="BJ51" s="25"/>
      <c r="BK51" s="25"/>
      <c r="BL51" s="25"/>
      <c r="BM51" s="25"/>
      <c r="BN51" s="25"/>
      <c r="BO51" s="25"/>
      <c r="BP51" s="25"/>
      <c r="BQ51" s="25"/>
      <c r="BR51" s="25"/>
      <c r="BS51" s="25"/>
      <c r="BT51" s="25"/>
      <c r="BU51" s="25"/>
      <c r="BV51" s="25"/>
      <c r="BW51" s="25"/>
      <c r="BX51" s="25"/>
      <c r="BY51" s="25"/>
      <c r="BZ51" s="25"/>
      <c r="CA51" s="25"/>
      <c r="CB51" s="25"/>
      <c r="CC51" s="28"/>
      <c r="CD51" s="47"/>
      <c r="CE51" s="47"/>
      <c r="CF51" s="47"/>
      <c r="CG51" s="47"/>
    </row>
    <row r="52" spans="1:85" ht="15.6" x14ac:dyDescent="0.3">
      <c r="C52" s="3">
        <v>45392</v>
      </c>
      <c r="D52" s="49">
        <v>45402</v>
      </c>
      <c r="E52" s="49">
        <v>45412</v>
      </c>
      <c r="F52" s="25"/>
      <c r="G52" s="49">
        <v>45397</v>
      </c>
      <c r="H52" s="49">
        <v>45412</v>
      </c>
      <c r="I52" s="25"/>
      <c r="J52" s="49">
        <v>45397</v>
      </c>
      <c r="K52" s="49">
        <v>45412</v>
      </c>
      <c r="M52" s="3">
        <v>45397</v>
      </c>
      <c r="N52" s="3">
        <v>45412</v>
      </c>
      <c r="P52" s="2"/>
      <c r="T52" s="3">
        <v>45514</v>
      </c>
      <c r="U52" s="49">
        <v>45524</v>
      </c>
      <c r="V52" s="49">
        <v>45535</v>
      </c>
      <c r="W52" s="25"/>
      <c r="X52" s="49">
        <v>45519</v>
      </c>
      <c r="Y52" s="49">
        <v>45535</v>
      </c>
      <c r="Z52" s="25"/>
      <c r="AA52" s="49">
        <v>45519</v>
      </c>
      <c r="AB52" s="49">
        <v>45535</v>
      </c>
      <c r="AD52" s="49">
        <v>45519</v>
      </c>
      <c r="AE52" s="3">
        <v>45535</v>
      </c>
      <c r="AH52" s="2"/>
      <c r="AN52" s="1" t="s">
        <v>1</v>
      </c>
      <c r="AO52" s="1"/>
      <c r="AP52" s="1"/>
      <c r="AQ52" s="1"/>
      <c r="AU52" s="1"/>
      <c r="AW52" s="1" t="s">
        <v>3</v>
      </c>
      <c r="AX52" s="1"/>
      <c r="AY52" s="1" t="s">
        <v>4</v>
      </c>
      <c r="AZ52" s="1"/>
      <c r="BA52" s="1"/>
      <c r="BB52" s="1" t="s">
        <v>2</v>
      </c>
      <c r="BC52" s="1"/>
      <c r="BD52" s="1"/>
      <c r="BG52" s="2"/>
      <c r="BH52" s="25"/>
      <c r="BI52" s="25"/>
      <c r="BJ52" s="25"/>
      <c r="BK52" s="25"/>
      <c r="BL52" s="25"/>
      <c r="BM52" s="25"/>
      <c r="BN52" s="25"/>
      <c r="BO52" s="25"/>
      <c r="BP52" s="25"/>
      <c r="BQ52" s="25"/>
      <c r="BR52" s="25"/>
      <c r="BS52" s="25"/>
      <c r="BT52" s="25"/>
      <c r="BU52" s="25"/>
      <c r="BV52" s="25"/>
      <c r="BW52" s="25"/>
      <c r="BX52" s="25"/>
      <c r="BY52" s="25"/>
      <c r="BZ52" s="25"/>
      <c r="CA52" s="25"/>
      <c r="CB52" s="25"/>
      <c r="CC52" s="28"/>
      <c r="CD52" s="47"/>
      <c r="CE52" s="47"/>
      <c r="CF52" s="47"/>
      <c r="CG52" s="47"/>
    </row>
    <row r="53" spans="1:85" ht="15.6" x14ac:dyDescent="0.3">
      <c r="A53" s="4" t="s">
        <v>14</v>
      </c>
      <c r="C53" s="4">
        <v>808.46</v>
      </c>
      <c r="D53" s="4">
        <v>1167.78</v>
      </c>
      <c r="E53" s="4">
        <v>262.97000000000003</v>
      </c>
      <c r="F53" s="25"/>
      <c r="G53" s="4">
        <v>4266.91</v>
      </c>
      <c r="H53" s="4">
        <v>982.56</v>
      </c>
      <c r="I53" s="25"/>
      <c r="J53" s="4">
        <v>602.73</v>
      </c>
      <c r="K53" s="4">
        <v>778.7</v>
      </c>
      <c r="M53" s="4">
        <f>1949.32+619.29+28226+379.46</f>
        <v>31174.07</v>
      </c>
      <c r="N53" s="4">
        <f>2738.29+521.99+16318.74+524.43</f>
        <v>20103.45</v>
      </c>
      <c r="P53" s="2"/>
      <c r="R53" s="4" t="s">
        <v>14</v>
      </c>
      <c r="T53" s="4">
        <v>990.91</v>
      </c>
      <c r="U53" s="4">
        <v>1025.21</v>
      </c>
      <c r="V53" s="4">
        <v>1882.55</v>
      </c>
      <c r="W53" s="25"/>
      <c r="X53" s="4">
        <v>422.82</v>
      </c>
      <c r="Y53" s="4">
        <v>999.68</v>
      </c>
      <c r="Z53" s="25"/>
      <c r="AA53" s="4">
        <f>387.03+50.27</f>
        <v>437.29999999999995</v>
      </c>
      <c r="AB53" s="4">
        <v>564.21</v>
      </c>
      <c r="AD53" s="4">
        <f>12962.23+560.73+423+273.35</f>
        <v>14219.31</v>
      </c>
      <c r="AE53" s="4">
        <f>18682.91+207.4+169+250.05</f>
        <v>19309.36</v>
      </c>
      <c r="AH53" s="2"/>
      <c r="AN53" s="3" t="s">
        <v>50</v>
      </c>
      <c r="AO53" s="3" t="s">
        <v>51</v>
      </c>
      <c r="AP53" s="3" t="s">
        <v>52</v>
      </c>
      <c r="AR53" s="1" t="s">
        <v>5</v>
      </c>
      <c r="AS53" s="1"/>
      <c r="AT53" s="1"/>
      <c r="AU53" s="1"/>
      <c r="AW53" s="3" t="s">
        <v>53</v>
      </c>
      <c r="AY53" s="3" t="s">
        <v>54</v>
      </c>
      <c r="AZ53" s="3" t="s">
        <v>55</v>
      </c>
      <c r="BB53" s="3" t="s">
        <v>56</v>
      </c>
      <c r="BC53" s="3" t="s">
        <v>57</v>
      </c>
      <c r="BD53" s="3" t="s">
        <v>52</v>
      </c>
      <c r="BG53" s="2"/>
      <c r="BH53" s="25"/>
      <c r="BI53" s="25"/>
      <c r="BJ53" s="25"/>
      <c r="BK53" s="25"/>
      <c r="BL53" s="25"/>
      <c r="BM53" s="25"/>
      <c r="BN53" s="25"/>
      <c r="BO53" s="25"/>
      <c r="BP53" s="25"/>
      <c r="BQ53" s="25"/>
      <c r="BR53" s="25"/>
      <c r="BS53" s="25"/>
      <c r="BT53" s="25"/>
      <c r="BU53" s="25"/>
      <c r="BV53" s="25"/>
      <c r="BW53" s="25"/>
      <c r="BX53" s="25"/>
      <c r="BY53" s="25"/>
      <c r="BZ53" s="25"/>
      <c r="CA53" s="25"/>
      <c r="CB53" s="25"/>
      <c r="CC53" s="28"/>
      <c r="CD53" s="47"/>
      <c r="CE53" s="47"/>
      <c r="CF53" s="47"/>
      <c r="CG53" s="47"/>
    </row>
    <row r="54" spans="1:85" x14ac:dyDescent="0.3">
      <c r="A54" s="7" t="s">
        <v>18</v>
      </c>
      <c r="D54" s="25"/>
      <c r="E54" s="25"/>
      <c r="F54" s="25"/>
      <c r="G54" s="4">
        <v>6313.25</v>
      </c>
      <c r="H54" s="4">
        <v>3285.61</v>
      </c>
      <c r="I54" s="25"/>
      <c r="J54" s="7"/>
      <c r="K54" s="7">
        <v>113.91</v>
      </c>
      <c r="M54" s="7">
        <f>40.28+53.98+211.55</f>
        <v>305.81</v>
      </c>
      <c r="N54" s="7">
        <f>297.16+238.49</f>
        <v>535.65000000000009</v>
      </c>
      <c r="P54" s="2"/>
      <c r="R54" s="7" t="s">
        <v>18</v>
      </c>
      <c r="U54" s="25"/>
      <c r="V54" s="25"/>
      <c r="W54" s="25"/>
      <c r="X54" s="4">
        <v>3366.27</v>
      </c>
      <c r="Y54" s="4">
        <v>1506.65</v>
      </c>
      <c r="Z54" s="25"/>
      <c r="AA54" s="25"/>
      <c r="AB54" s="25"/>
      <c r="AD54" s="7">
        <f>262.84+57.04</f>
        <v>319.88</v>
      </c>
      <c r="AE54" s="7">
        <f>234.4+65.29</f>
        <v>299.69</v>
      </c>
      <c r="AH54" s="2"/>
      <c r="AN54" s="4">
        <v>7510.32</v>
      </c>
      <c r="AO54" s="4">
        <v>6693.01</v>
      </c>
      <c r="AP54" s="4">
        <v>424.64</v>
      </c>
      <c r="AR54" s="3" t="s">
        <v>59</v>
      </c>
      <c r="AS54" s="3" t="s">
        <v>54</v>
      </c>
      <c r="AT54" s="3" t="s">
        <v>60</v>
      </c>
      <c r="AU54" s="3" t="s">
        <v>55</v>
      </c>
      <c r="AW54">
        <v>181</v>
      </c>
      <c r="AY54" s="4">
        <v>1199.26</v>
      </c>
      <c r="AZ54" s="4">
        <v>371.24</v>
      </c>
      <c r="BB54">
        <v>128.03</v>
      </c>
      <c r="BC54">
        <v>190</v>
      </c>
      <c r="BD54">
        <v>214</v>
      </c>
      <c r="BG54" s="2"/>
      <c r="BH54" s="25"/>
      <c r="BI54" s="25"/>
      <c r="BJ54" s="25"/>
      <c r="BK54" s="25"/>
      <c r="BL54" s="25"/>
      <c r="BM54" s="25"/>
      <c r="BN54" s="25"/>
      <c r="BO54" s="25"/>
      <c r="BP54" s="25"/>
      <c r="BQ54" s="25"/>
      <c r="BR54" s="25"/>
      <c r="BS54" s="25"/>
      <c r="BT54" s="25"/>
      <c r="BU54" s="25"/>
      <c r="BV54" s="25"/>
      <c r="BW54" s="25"/>
      <c r="BX54" s="25"/>
      <c r="BY54" s="25"/>
      <c r="BZ54" s="25"/>
      <c r="CA54" s="25"/>
      <c r="CB54" s="25"/>
      <c r="CC54" s="28"/>
      <c r="CD54" s="47"/>
      <c r="CE54" s="47"/>
      <c r="CF54" s="47"/>
      <c r="CG54" s="47"/>
    </row>
    <row r="55" spans="1:85" x14ac:dyDescent="0.3">
      <c r="A55" s="19" t="s">
        <v>106</v>
      </c>
      <c r="D55" s="25"/>
      <c r="E55" s="25"/>
      <c r="F55" s="25"/>
      <c r="G55" s="4">
        <v>2994.87</v>
      </c>
      <c r="H55" s="4">
        <v>1812.05</v>
      </c>
      <c r="I55" s="25"/>
      <c r="J55" s="25"/>
      <c r="M55" s="19">
        <v>425.6</v>
      </c>
      <c r="N55" s="19">
        <v>195.64</v>
      </c>
      <c r="P55" s="2"/>
      <c r="R55" s="19" t="s">
        <v>106</v>
      </c>
      <c r="U55" s="25"/>
      <c r="V55" s="25"/>
      <c r="W55" s="25"/>
      <c r="X55" s="4">
        <v>1075.1500000000001</v>
      </c>
      <c r="Y55" s="4">
        <v>1150.1199999999999</v>
      </c>
      <c r="Z55" s="25"/>
      <c r="AA55" s="25"/>
      <c r="AD55" s="19">
        <v>445.61</v>
      </c>
      <c r="AE55" s="19">
        <v>457.77</v>
      </c>
      <c r="AH55" s="2"/>
      <c r="AR55" s="4">
        <f>48865.63+72.47</f>
        <v>48938.1</v>
      </c>
      <c r="AS55" s="4">
        <f>24517.18+1011.99</f>
        <v>25529.170000000002</v>
      </c>
      <c r="AT55" s="4">
        <v>27648.45</v>
      </c>
      <c r="AU55" s="4">
        <v>6414.64</v>
      </c>
      <c r="AW55">
        <v>490.07</v>
      </c>
      <c r="AY55" s="7">
        <v>36.47</v>
      </c>
      <c r="BB55">
        <v>200</v>
      </c>
      <c r="BC55">
        <v>57.45</v>
      </c>
      <c r="BD55">
        <v>240</v>
      </c>
      <c r="BG55" s="2"/>
      <c r="BH55" s="25"/>
      <c r="BI55" s="25"/>
      <c r="BJ55" s="25"/>
      <c r="BK55" s="25"/>
      <c r="BL55" s="25"/>
      <c r="BM55" s="25"/>
      <c r="BN55" s="25"/>
      <c r="BO55" s="25"/>
      <c r="BP55" s="25"/>
      <c r="BQ55" s="25"/>
      <c r="BR55" s="25"/>
      <c r="BS55" s="25"/>
      <c r="BT55" s="25"/>
      <c r="BU55" s="25"/>
      <c r="BV55" s="25"/>
      <c r="BW55" s="25"/>
      <c r="BX55" s="25"/>
      <c r="BY55" s="25"/>
      <c r="BZ55" s="25"/>
      <c r="CA55" s="25"/>
      <c r="CB55" s="25"/>
      <c r="CC55" s="28"/>
      <c r="CD55" s="47"/>
      <c r="CE55" s="47"/>
      <c r="CF55" s="47"/>
      <c r="CG55" s="47"/>
    </row>
    <row r="56" spans="1:85" x14ac:dyDescent="0.3">
      <c r="D56" s="25"/>
      <c r="E56" s="25"/>
      <c r="F56" s="25"/>
      <c r="G56" s="25"/>
      <c r="H56" s="25"/>
      <c r="I56" s="25"/>
      <c r="J56" s="25"/>
      <c r="P56" s="2"/>
      <c r="U56" s="25"/>
      <c r="V56" s="25"/>
      <c r="W56" s="25"/>
      <c r="X56" s="4">
        <v>1736.83</v>
      </c>
      <c r="Y56" s="4">
        <v>1550.15</v>
      </c>
      <c r="Z56" s="25"/>
      <c r="AA56" s="25"/>
      <c r="AH56" s="2"/>
      <c r="AR56" s="7">
        <f>90.52+430.22</f>
        <v>520.74</v>
      </c>
      <c r="AS56" s="7">
        <f>53.82+295.07+73.91</f>
        <v>422.79999999999995</v>
      </c>
      <c r="AT56" s="7">
        <f>222.3+25.65</f>
        <v>247.95000000000002</v>
      </c>
      <c r="AU56" s="7">
        <f>107.44+37.01+90.47</f>
        <v>234.92</v>
      </c>
      <c r="AW56">
        <v>207.18</v>
      </c>
      <c r="BB56">
        <v>240.4</v>
      </c>
      <c r="BC56">
        <v>77.91</v>
      </c>
      <c r="BD56">
        <v>57</v>
      </c>
      <c r="BG56" s="2"/>
      <c r="BH56" s="25"/>
      <c r="BI56" s="25"/>
      <c r="BJ56" s="25"/>
      <c r="BK56" s="25"/>
      <c r="BL56" s="25"/>
      <c r="BM56" s="25"/>
      <c r="BN56" s="25"/>
      <c r="BO56" s="25"/>
      <c r="BP56" s="25"/>
      <c r="BQ56" s="25"/>
      <c r="BR56" s="25"/>
      <c r="BS56" s="25"/>
      <c r="BT56" s="25"/>
      <c r="BU56" s="25"/>
      <c r="BV56" s="25"/>
      <c r="BW56" s="25"/>
      <c r="BX56" s="25"/>
      <c r="BY56" s="25"/>
      <c r="BZ56" s="25"/>
      <c r="CA56" s="25"/>
      <c r="CB56" s="25"/>
      <c r="CC56" s="28"/>
      <c r="CD56" s="47"/>
      <c r="CE56" s="47"/>
      <c r="CF56" s="47"/>
      <c r="CG56" s="47"/>
    </row>
    <row r="57" spans="1:85" ht="18" x14ac:dyDescent="0.35">
      <c r="A57" s="4" t="s">
        <v>23</v>
      </c>
      <c r="B57">
        <f>C53+D53+E53+G53+H53+H54+H55+G55+G54+J53+K53+M53+N53</f>
        <v>74553.41</v>
      </c>
      <c r="C57" t="s">
        <v>24</v>
      </c>
      <c r="D57" s="11" t="s">
        <v>25</v>
      </c>
      <c r="I57" s="25"/>
      <c r="J57" s="25"/>
      <c r="P57" s="2"/>
      <c r="U57" s="25"/>
      <c r="V57" s="25"/>
      <c r="W57" s="25"/>
      <c r="X57" s="25"/>
      <c r="Y57" s="25"/>
      <c r="Z57" s="25"/>
      <c r="AA57" s="25"/>
      <c r="AB57" s="25"/>
      <c r="AC57" s="25"/>
      <c r="AD57" s="25"/>
      <c r="AE57" s="25"/>
      <c r="AH57" s="2"/>
      <c r="AW57" s="4">
        <f>SUM(AW54:AW56)</f>
        <v>878.25</v>
      </c>
      <c r="BB57">
        <v>128</v>
      </c>
      <c r="BC57">
        <v>229</v>
      </c>
      <c r="BD57">
        <v>127</v>
      </c>
      <c r="BG57" s="2"/>
      <c r="BH57" s="25"/>
      <c r="BI57" s="25"/>
      <c r="BJ57" s="25"/>
      <c r="BK57" s="25"/>
      <c r="BL57" s="25"/>
      <c r="BM57" s="25"/>
      <c r="BN57" s="25"/>
      <c r="BO57" s="25"/>
      <c r="BP57" s="25"/>
      <c r="BQ57" s="25"/>
      <c r="BR57" s="25"/>
      <c r="BS57" s="25"/>
      <c r="BT57" s="25"/>
      <c r="BU57" s="25"/>
      <c r="BV57" s="25"/>
      <c r="BW57" s="25"/>
      <c r="BX57" s="25"/>
      <c r="BY57" s="25"/>
      <c r="BZ57" s="25"/>
      <c r="CA57" s="25"/>
      <c r="CB57" s="25"/>
      <c r="CC57" s="28"/>
      <c r="CD57" s="47"/>
      <c r="CE57" s="47"/>
      <c r="CF57" s="47"/>
      <c r="CG57" s="47"/>
    </row>
    <row r="58" spans="1:85" x14ac:dyDescent="0.3">
      <c r="A58" s="7" t="s">
        <v>26</v>
      </c>
      <c r="B58">
        <f>K54+M54+N54</f>
        <v>955.37000000000012</v>
      </c>
      <c r="C58" t="s">
        <v>24</v>
      </c>
      <c r="I58" s="25"/>
      <c r="J58" s="25"/>
      <c r="K58" s="25"/>
      <c r="L58" s="25"/>
      <c r="M58" s="25"/>
      <c r="N58" s="25"/>
      <c r="P58" s="2"/>
      <c r="U58" s="25"/>
      <c r="V58" s="25"/>
      <c r="W58" s="25"/>
      <c r="X58" s="25"/>
      <c r="Y58" s="25"/>
      <c r="Z58" s="25"/>
      <c r="AA58" s="25"/>
      <c r="AB58" s="25"/>
      <c r="AC58" s="25"/>
      <c r="AD58" s="25"/>
      <c r="AE58" s="25"/>
      <c r="AH58" s="2"/>
      <c r="BB58">
        <v>128.06</v>
      </c>
      <c r="BC58">
        <v>132</v>
      </c>
      <c r="BD58">
        <v>58.45</v>
      </c>
      <c r="BG58" s="2"/>
      <c r="BH58" s="25"/>
      <c r="BI58" s="25"/>
      <c r="BJ58" s="25"/>
      <c r="BK58" s="25"/>
      <c r="BL58" s="25"/>
      <c r="BM58" s="25"/>
      <c r="BN58" s="25"/>
      <c r="BO58" s="25"/>
      <c r="BP58" s="25"/>
      <c r="BQ58" s="25"/>
      <c r="BR58" s="25"/>
      <c r="BS58" s="25"/>
      <c r="BT58" s="25"/>
      <c r="BU58" s="25"/>
      <c r="BV58" s="25"/>
      <c r="BW58" s="25"/>
      <c r="BX58" s="25"/>
      <c r="BY58" s="25"/>
      <c r="BZ58" s="25"/>
      <c r="CA58" s="25"/>
      <c r="CB58" s="25"/>
      <c r="CC58" s="28"/>
      <c r="CD58" s="47"/>
      <c r="CE58" s="47"/>
      <c r="CF58" s="47"/>
      <c r="CG58" s="47"/>
    </row>
    <row r="59" spans="1:85" ht="18" x14ac:dyDescent="0.35">
      <c r="A59" s="19" t="s">
        <v>110</v>
      </c>
      <c r="B59">
        <f>M55+N55</f>
        <v>621.24</v>
      </c>
      <c r="C59" t="s">
        <v>24</v>
      </c>
      <c r="E59" s="13" t="s">
        <v>14</v>
      </c>
      <c r="F59" s="14">
        <f>B57*3.1</f>
        <v>231115.57100000003</v>
      </c>
      <c r="G59" s="13" t="s">
        <v>28</v>
      </c>
      <c r="P59" s="2"/>
      <c r="R59" s="4" t="s">
        <v>23</v>
      </c>
      <c r="S59">
        <f>T53+U53+V53+X53+X54+X55+X56+Y56+Y55+Y54+Y53+AA53+AB53+AD53+AE53</f>
        <v>50236.52</v>
      </c>
      <c r="T59" t="s">
        <v>24</v>
      </c>
      <c r="V59" s="11" t="s">
        <v>25</v>
      </c>
      <c r="AH59" s="2"/>
      <c r="BB59">
        <v>196</v>
      </c>
      <c r="BC59">
        <v>60.7</v>
      </c>
      <c r="BD59">
        <v>70.02</v>
      </c>
      <c r="BG59" s="2"/>
      <c r="BH59" s="25"/>
      <c r="BI59" s="25"/>
      <c r="BJ59" s="25"/>
      <c r="BK59" s="25"/>
      <c r="BL59" s="25"/>
      <c r="BM59" s="25"/>
      <c r="BN59" s="25"/>
      <c r="BO59" s="25"/>
      <c r="BP59" s="25"/>
      <c r="BQ59" s="25"/>
      <c r="BR59" s="25"/>
      <c r="BS59" s="25"/>
      <c r="BT59" s="25"/>
      <c r="BU59" s="25"/>
      <c r="BV59" s="25"/>
      <c r="BW59" s="25"/>
      <c r="BX59" s="25"/>
      <c r="BY59" s="25"/>
      <c r="BZ59" s="25"/>
      <c r="CA59" s="25"/>
      <c r="CB59" s="25"/>
      <c r="CC59" s="28"/>
      <c r="CD59" s="47"/>
      <c r="CE59" s="47"/>
      <c r="CF59" s="47"/>
      <c r="CG59" s="47"/>
    </row>
    <row r="60" spans="1:85" x14ac:dyDescent="0.3">
      <c r="E60" s="13" t="s">
        <v>18</v>
      </c>
      <c r="F60" s="14">
        <f>B58*2.7</f>
        <v>2579.4990000000007</v>
      </c>
      <c r="G60" s="13" t="s">
        <v>28</v>
      </c>
      <c r="P60" s="2"/>
      <c r="R60" s="7" t="s">
        <v>26</v>
      </c>
      <c r="S60">
        <f>AD54+AE54</f>
        <v>619.56999999999994</v>
      </c>
      <c r="T60" t="s">
        <v>24</v>
      </c>
      <c r="AH60" s="2"/>
      <c r="BB60">
        <v>220</v>
      </c>
      <c r="BC60">
        <v>234.83</v>
      </c>
      <c r="BD60">
        <v>184.83</v>
      </c>
      <c r="BG60" s="2"/>
      <c r="BH60" s="25"/>
      <c r="BI60" s="25"/>
      <c r="BJ60" s="25"/>
      <c r="BK60" s="25"/>
      <c r="BL60" s="25"/>
      <c r="BM60" s="25"/>
      <c r="BN60" s="25"/>
      <c r="BO60" s="25"/>
      <c r="BP60" s="25"/>
      <c r="BQ60" s="25"/>
      <c r="BR60" s="25"/>
      <c r="BS60" s="25"/>
      <c r="BT60" s="25"/>
      <c r="BU60" s="25"/>
      <c r="BV60" s="25"/>
      <c r="BW60" s="25"/>
      <c r="BX60" s="25"/>
      <c r="BY60" s="25"/>
      <c r="BZ60" s="25"/>
      <c r="CA60" s="25"/>
      <c r="CB60" s="25"/>
      <c r="CC60" s="28"/>
      <c r="CD60" s="47"/>
      <c r="CE60" s="47"/>
      <c r="CF60" s="47"/>
      <c r="CG60" s="47"/>
    </row>
    <row r="61" spans="1:85" x14ac:dyDescent="0.3">
      <c r="E61" s="13" t="s">
        <v>111</v>
      </c>
      <c r="F61" s="13">
        <f>B59*1.11</f>
        <v>689.57640000000004</v>
      </c>
      <c r="G61" s="13" t="s">
        <v>28</v>
      </c>
      <c r="P61" s="2"/>
      <c r="R61" s="19" t="s">
        <v>110</v>
      </c>
      <c r="S61">
        <f>AD55+AE55</f>
        <v>903.38</v>
      </c>
      <c r="T61" t="s">
        <v>24</v>
      </c>
      <c r="W61" s="13" t="s">
        <v>14</v>
      </c>
      <c r="X61" s="14">
        <f>S59*3.1</f>
        <v>155733.212</v>
      </c>
      <c r="Y61" s="13" t="s">
        <v>28</v>
      </c>
      <c r="AH61" s="2"/>
      <c r="BB61">
        <v>242</v>
      </c>
      <c r="BC61">
        <v>183.09</v>
      </c>
      <c r="BD61">
        <v>180</v>
      </c>
      <c r="BG61" s="2"/>
      <c r="BH61" s="25"/>
      <c r="BI61" s="25"/>
      <c r="BJ61" s="25"/>
      <c r="BK61" s="25"/>
      <c r="BL61" s="25"/>
      <c r="BM61" s="25"/>
      <c r="BN61" s="25"/>
      <c r="BO61" s="25"/>
      <c r="BP61" s="25"/>
      <c r="BQ61" s="25"/>
      <c r="BR61" s="25"/>
      <c r="BS61" s="25"/>
      <c r="BT61" s="25"/>
      <c r="BU61" s="25"/>
      <c r="BV61" s="25"/>
      <c r="BW61" s="25"/>
      <c r="BX61" s="25"/>
      <c r="BY61" s="25"/>
      <c r="BZ61" s="25"/>
      <c r="CA61" s="25"/>
      <c r="CB61" s="25"/>
      <c r="CC61" s="28"/>
      <c r="CD61" s="47"/>
      <c r="CE61" s="47"/>
      <c r="CF61" s="47"/>
      <c r="CG61" s="47"/>
    </row>
    <row r="62" spans="1:85" x14ac:dyDescent="0.3">
      <c r="E62" s="13"/>
      <c r="F62" s="14"/>
      <c r="G62" s="13"/>
      <c r="P62" s="2"/>
      <c r="W62" s="13" t="s">
        <v>18</v>
      </c>
      <c r="X62" s="14">
        <f>S60*2.7</f>
        <v>1672.8389999999999</v>
      </c>
      <c r="Y62" s="13" t="s">
        <v>28</v>
      </c>
      <c r="AH62" s="2"/>
      <c r="BB62">
        <v>52</v>
      </c>
      <c r="BC62">
        <v>83.9</v>
      </c>
      <c r="BD62">
        <v>198.51</v>
      </c>
      <c r="BG62" s="2"/>
      <c r="BH62" s="25"/>
      <c r="BI62" s="25"/>
      <c r="BJ62" s="25"/>
      <c r="BK62" s="25"/>
      <c r="BL62" s="25"/>
      <c r="BM62" s="25"/>
      <c r="BN62" s="25"/>
      <c r="BO62" s="25"/>
      <c r="BP62" s="25"/>
      <c r="BQ62" s="25"/>
      <c r="BR62" s="25"/>
      <c r="BS62" s="25"/>
      <c r="BT62" s="25"/>
      <c r="BU62" s="25"/>
      <c r="BV62" s="25"/>
      <c r="BW62" s="25"/>
      <c r="BX62" s="25"/>
      <c r="BY62" s="25"/>
      <c r="BZ62" s="25"/>
      <c r="CA62" s="25"/>
      <c r="CB62" s="25"/>
      <c r="CC62" s="28"/>
      <c r="CD62" s="47"/>
      <c r="CE62" s="47"/>
      <c r="CF62" s="47"/>
      <c r="CG62" s="47"/>
    </row>
    <row r="63" spans="1:85" ht="18" x14ac:dyDescent="0.35">
      <c r="E63" s="20" t="s">
        <v>4</v>
      </c>
      <c r="F63" s="21">
        <f>F60+F61+F59</f>
        <v>234384.64640000003</v>
      </c>
      <c r="G63" s="20" t="s">
        <v>28</v>
      </c>
      <c r="P63" s="2"/>
      <c r="W63" s="13" t="s">
        <v>111</v>
      </c>
      <c r="X63" s="13">
        <f>S61*1.11</f>
        <v>1002.7518000000001</v>
      </c>
      <c r="Y63" s="13" t="s">
        <v>28</v>
      </c>
      <c r="AH63" s="2"/>
      <c r="AJ63" s="4" t="s">
        <v>23</v>
      </c>
      <c r="AK63" cm="1">
        <f t="array" ref="AK63">Tableau1768[10-déc]+Tableau1768[20-déc]+Tableau1768[30-déc]+BB78+BC78+BD78+AW57+AY54+Tableau2071[31-déc]+AR55+AS55+AT55+AU55</f>
        <v>133608.83000000002</v>
      </c>
      <c r="AL63" t="s">
        <v>24</v>
      </c>
      <c r="AN63" s="11" t="s">
        <v>25</v>
      </c>
      <c r="BB63">
        <v>244.5</v>
      </c>
      <c r="BC63">
        <v>145.97</v>
      </c>
      <c r="BD63">
        <v>214</v>
      </c>
      <c r="BG63" s="2"/>
      <c r="BH63" s="25"/>
      <c r="BI63" s="25"/>
      <c r="BJ63" s="25"/>
      <c r="BK63" s="25"/>
      <c r="BL63" s="25"/>
      <c r="BM63" s="25"/>
      <c r="BN63" s="25"/>
      <c r="BO63" s="25"/>
      <c r="BP63" s="25"/>
      <c r="BQ63" s="25"/>
      <c r="BR63" s="25"/>
      <c r="BS63" s="25"/>
      <c r="BT63" s="25"/>
      <c r="BU63" s="25"/>
      <c r="BV63" s="25"/>
      <c r="BW63" s="25"/>
      <c r="BX63" s="25"/>
      <c r="BY63" s="25"/>
      <c r="BZ63" s="25"/>
      <c r="CA63" s="25"/>
      <c r="CB63" s="25"/>
      <c r="CC63" s="28"/>
      <c r="CD63" s="47"/>
      <c r="CE63" s="47"/>
      <c r="CF63" s="47"/>
      <c r="CG63" s="47"/>
    </row>
    <row r="64" spans="1:85" x14ac:dyDescent="0.3">
      <c r="P64" s="2"/>
      <c r="W64" s="13"/>
      <c r="X64" s="14"/>
      <c r="Y64" s="13"/>
      <c r="AH64" s="2"/>
      <c r="AJ64" s="7" t="s">
        <v>26</v>
      </c>
      <c r="AK64">
        <f>AY55+AR56+AS56+AT56+AU56</f>
        <v>1462.88</v>
      </c>
      <c r="AL64" t="s">
        <v>24</v>
      </c>
      <c r="BB64">
        <v>135</v>
      </c>
      <c r="BC64">
        <v>55.1</v>
      </c>
      <c r="BD64">
        <v>55.23</v>
      </c>
      <c r="BG64" s="2"/>
      <c r="BH64" s="25"/>
      <c r="BI64" s="25"/>
      <c r="BJ64" s="25"/>
      <c r="BK64" s="25"/>
      <c r="BL64" s="25"/>
      <c r="BM64" s="25"/>
      <c r="BN64" s="25"/>
      <c r="BO64" s="25"/>
      <c r="BP64" s="25"/>
      <c r="BQ64" s="25"/>
      <c r="BR64" s="25"/>
      <c r="BS64" s="25"/>
      <c r="BT64" s="25"/>
      <c r="BU64" s="25"/>
      <c r="BV64" s="25"/>
      <c r="BW64" s="25"/>
      <c r="BX64" s="25"/>
      <c r="BY64" s="25"/>
      <c r="BZ64" s="25"/>
      <c r="CA64" s="25"/>
      <c r="CB64" s="25"/>
      <c r="CC64" s="28"/>
      <c r="CD64" s="47"/>
      <c r="CE64" s="47"/>
      <c r="CF64" s="47"/>
      <c r="CG64" s="47"/>
    </row>
    <row r="65" spans="16:85" ht="15.6" x14ac:dyDescent="0.3">
      <c r="P65" s="2"/>
      <c r="W65" s="20" t="s">
        <v>4</v>
      </c>
      <c r="X65" s="21">
        <f>X62+X63+X61</f>
        <v>158408.8028</v>
      </c>
      <c r="Y65" s="20" t="s">
        <v>28</v>
      </c>
      <c r="AH65" s="2"/>
      <c r="AO65" s="13" t="s">
        <v>14</v>
      </c>
      <c r="AP65" s="14">
        <f>AK63*3.1</f>
        <v>414187.37300000008</v>
      </c>
      <c r="AQ65" s="13" t="s">
        <v>28</v>
      </c>
      <c r="BB65">
        <v>60.87</v>
      </c>
      <c r="BC65">
        <v>180</v>
      </c>
      <c r="BD65">
        <v>173</v>
      </c>
      <c r="BG65" s="2"/>
      <c r="BH65" s="25"/>
      <c r="BI65" s="25"/>
      <c r="BJ65" s="25"/>
      <c r="BK65" s="25"/>
      <c r="BL65" s="25"/>
      <c r="BM65" s="25"/>
      <c r="BN65" s="25"/>
      <c r="BO65" s="25"/>
      <c r="BP65" s="25"/>
      <c r="BQ65" s="25"/>
      <c r="BR65" s="25"/>
      <c r="BS65" s="25"/>
      <c r="BT65" s="25"/>
      <c r="BU65" s="25"/>
      <c r="BV65" s="25"/>
      <c r="BW65" s="25"/>
      <c r="BX65" s="25"/>
      <c r="BY65" s="25"/>
      <c r="BZ65" s="25"/>
      <c r="CA65" s="25"/>
      <c r="CB65" s="25"/>
      <c r="CC65" s="28"/>
      <c r="CD65" s="47"/>
      <c r="CE65" s="47"/>
      <c r="CF65" s="47"/>
      <c r="CG65" s="47"/>
    </row>
    <row r="66" spans="16:85" x14ac:dyDescent="0.3">
      <c r="P66" s="2"/>
      <c r="AH66" s="2"/>
      <c r="AO66" s="13" t="s">
        <v>18</v>
      </c>
      <c r="AP66" s="14">
        <f>AK64*2.7</f>
        <v>3949.7760000000007</v>
      </c>
      <c r="AQ66" s="13" t="s">
        <v>28</v>
      </c>
      <c r="BB66">
        <v>163.69999999999999</v>
      </c>
      <c r="BC66">
        <v>221</v>
      </c>
      <c r="BD66">
        <v>103.97</v>
      </c>
      <c r="BG66" s="2"/>
      <c r="BH66" s="25"/>
      <c r="BI66" s="25"/>
      <c r="BJ66" s="25"/>
      <c r="BK66" s="25"/>
      <c r="BL66" s="25"/>
      <c r="BM66" s="25"/>
      <c r="BN66" s="25"/>
      <c r="BO66" s="25"/>
      <c r="BP66" s="25"/>
      <c r="BQ66" s="25"/>
      <c r="BR66" s="25"/>
      <c r="BS66" s="25"/>
      <c r="BT66" s="25"/>
      <c r="BU66" s="25"/>
      <c r="BV66" s="25"/>
      <c r="BW66" s="25"/>
      <c r="BX66" s="25"/>
      <c r="BY66" s="25"/>
      <c r="BZ66" s="25"/>
      <c r="CA66" s="25"/>
      <c r="CB66" s="25"/>
      <c r="CC66" s="28"/>
      <c r="CD66" s="47"/>
      <c r="CE66" s="47"/>
      <c r="CF66" s="47"/>
      <c r="CG66" s="47"/>
    </row>
    <row r="67" spans="16:85" x14ac:dyDescent="0.3">
      <c r="P67" s="2"/>
      <c r="AH67" s="2"/>
      <c r="AO67" s="13" t="s">
        <v>111</v>
      </c>
      <c r="AP67" s="13">
        <v>0</v>
      </c>
      <c r="AQ67" s="13" t="s">
        <v>28</v>
      </c>
      <c r="BB67">
        <v>227.09</v>
      </c>
      <c r="BC67">
        <v>51.94</v>
      </c>
      <c r="BD67">
        <v>53.73</v>
      </c>
      <c r="BG67" s="2"/>
      <c r="BH67" s="25"/>
      <c r="BI67" s="25"/>
      <c r="BJ67" s="25"/>
      <c r="BK67" s="25"/>
      <c r="BL67" s="25"/>
      <c r="BM67" s="25"/>
      <c r="BN67" s="25"/>
      <c r="BO67" s="25"/>
      <c r="BP67" s="25"/>
      <c r="BQ67" s="25"/>
      <c r="BR67" s="25"/>
      <c r="BS67" s="25"/>
      <c r="BT67" s="25"/>
      <c r="BU67" s="25"/>
      <c r="BV67" s="25"/>
      <c r="BW67" s="25"/>
      <c r="BX67" s="25"/>
      <c r="BY67" s="25"/>
      <c r="BZ67" s="25"/>
      <c r="CA67" s="25"/>
      <c r="CB67" s="25"/>
      <c r="CC67" s="28"/>
      <c r="CD67" s="47"/>
      <c r="CE67" s="47"/>
      <c r="CF67" s="47"/>
      <c r="CG67" s="47"/>
    </row>
    <row r="68" spans="16:85" ht="15.6" x14ac:dyDescent="0.3">
      <c r="P68" s="2"/>
      <c r="AH68" s="2"/>
      <c r="AO68" s="20" t="s">
        <v>4</v>
      </c>
      <c r="AP68" s="21">
        <f>AP65+AP66</f>
        <v>418137.14900000009</v>
      </c>
      <c r="AQ68" s="20" t="s">
        <v>28</v>
      </c>
      <c r="BB68">
        <v>182</v>
      </c>
      <c r="BC68">
        <v>207</v>
      </c>
      <c r="BD68">
        <v>57.72</v>
      </c>
      <c r="BG68" s="2"/>
      <c r="BH68" s="25"/>
      <c r="BI68" s="25"/>
      <c r="BJ68" s="25"/>
      <c r="BK68" s="25"/>
      <c r="BL68" s="25"/>
      <c r="BM68" s="25"/>
      <c r="BN68" s="25"/>
      <c r="BO68" s="25"/>
      <c r="BP68" s="25"/>
      <c r="BQ68" s="25"/>
      <c r="BR68" s="25"/>
      <c r="BS68" s="25"/>
      <c r="BT68" s="25"/>
      <c r="BU68" s="25"/>
      <c r="BV68" s="25"/>
      <c r="BW68" s="25"/>
      <c r="BX68" s="25"/>
      <c r="BY68" s="25"/>
      <c r="BZ68" s="25"/>
      <c r="CA68" s="25"/>
      <c r="CB68" s="25"/>
      <c r="CC68" s="28"/>
      <c r="CD68" s="47"/>
      <c r="CE68" s="47"/>
      <c r="CF68" s="47"/>
      <c r="CG68" s="47"/>
    </row>
    <row r="69" spans="16:85" x14ac:dyDescent="0.3">
      <c r="P69" s="2"/>
      <c r="AH69" s="2"/>
      <c r="BB69">
        <v>111.08</v>
      </c>
      <c r="BC69">
        <v>115.16</v>
      </c>
      <c r="BG69" s="2"/>
      <c r="BH69" s="25"/>
      <c r="BI69" s="25"/>
      <c r="BJ69" s="25"/>
      <c r="BK69" s="25"/>
      <c r="BL69" s="25"/>
      <c r="BM69" s="25"/>
      <c r="BN69" s="25"/>
      <c r="BO69" s="25"/>
      <c r="BP69" s="25"/>
      <c r="BQ69" s="25"/>
      <c r="BR69" s="25"/>
      <c r="BS69" s="25"/>
      <c r="BT69" s="25"/>
      <c r="BU69" s="25"/>
      <c r="BV69" s="25"/>
      <c r="BW69" s="25"/>
      <c r="BX69" s="25"/>
      <c r="BY69" s="25"/>
      <c r="BZ69" s="25"/>
      <c r="CA69" s="25"/>
      <c r="CB69" s="25"/>
      <c r="CC69" s="28"/>
      <c r="CD69" s="47"/>
      <c r="CE69" s="47"/>
      <c r="CF69" s="47"/>
      <c r="CG69" s="47"/>
    </row>
    <row r="70" spans="16:85" x14ac:dyDescent="0.3">
      <c r="P70" s="2"/>
      <c r="AH70" s="2"/>
      <c r="BC70">
        <v>145</v>
      </c>
      <c r="BG70" s="2"/>
      <c r="BH70" s="25"/>
      <c r="BI70" s="25"/>
      <c r="BJ70" s="25"/>
      <c r="BK70" s="25"/>
      <c r="BL70" s="25"/>
      <c r="BM70" s="25"/>
      <c r="BN70" s="25"/>
      <c r="BO70" s="25"/>
      <c r="BP70" s="25"/>
      <c r="BQ70" s="25"/>
      <c r="BR70" s="25"/>
      <c r="BS70" s="25"/>
      <c r="BT70" s="25"/>
      <c r="BU70" s="25"/>
      <c r="BV70" s="25"/>
      <c r="BW70" s="25"/>
      <c r="BX70" s="25"/>
      <c r="BY70" s="25"/>
      <c r="BZ70" s="25"/>
      <c r="CA70" s="25"/>
      <c r="CB70" s="25"/>
      <c r="CC70" s="28"/>
      <c r="CD70" s="47"/>
      <c r="CE70" s="47"/>
      <c r="CF70" s="47"/>
      <c r="CG70" s="47"/>
    </row>
    <row r="71" spans="16:85" x14ac:dyDescent="0.3">
      <c r="P71" s="2"/>
      <c r="AH71" s="2"/>
      <c r="BC71">
        <v>51</v>
      </c>
      <c r="BG71" s="2"/>
      <c r="BH71" s="25"/>
      <c r="BI71" s="25"/>
      <c r="BJ71" s="25"/>
      <c r="BK71" s="25"/>
      <c r="BL71" s="25"/>
      <c r="BM71" s="25"/>
      <c r="BN71" s="25"/>
      <c r="BO71" s="25"/>
      <c r="BP71" s="25"/>
      <c r="BQ71" s="25"/>
      <c r="BR71" s="25"/>
      <c r="BS71" s="25"/>
      <c r="BT71" s="25"/>
      <c r="BU71" s="25"/>
      <c r="BV71" s="25"/>
      <c r="BW71" s="25"/>
      <c r="BX71" s="25"/>
      <c r="BY71" s="25"/>
      <c r="BZ71" s="25"/>
      <c r="CA71" s="25"/>
      <c r="CB71" s="25"/>
      <c r="CC71" s="28"/>
      <c r="CD71" s="47"/>
      <c r="CE71" s="47"/>
      <c r="CF71" s="47"/>
      <c r="CG71" s="47"/>
    </row>
    <row r="72" spans="16:85" x14ac:dyDescent="0.3">
      <c r="P72" s="2"/>
      <c r="AH72" s="2"/>
      <c r="BC72">
        <v>163</v>
      </c>
      <c r="BG72" s="2"/>
      <c r="BH72" s="25"/>
      <c r="BI72" s="25"/>
      <c r="BJ72" s="25"/>
      <c r="BK72" s="25"/>
      <c r="BL72" s="25"/>
      <c r="BM72" s="25"/>
      <c r="BN72" s="25"/>
      <c r="BO72" s="25"/>
      <c r="BP72" s="25"/>
      <c r="BQ72" s="25"/>
      <c r="BR72" s="25"/>
      <c r="BS72" s="25"/>
      <c r="BT72" s="25"/>
      <c r="BU72" s="25"/>
      <c r="BV72" s="25"/>
      <c r="BW72" s="25"/>
      <c r="BX72" s="25"/>
      <c r="BY72" s="25"/>
      <c r="BZ72" s="25"/>
      <c r="CA72" s="25"/>
      <c r="CB72" s="25"/>
      <c r="CC72" s="28"/>
      <c r="CD72" s="47"/>
      <c r="CE72" s="47"/>
      <c r="CF72" s="47"/>
      <c r="CG72" s="47"/>
    </row>
    <row r="73" spans="16:85" x14ac:dyDescent="0.3">
      <c r="P73" s="2"/>
      <c r="AH73" s="2"/>
      <c r="BC73">
        <v>219.75</v>
      </c>
      <c r="BG73" s="2"/>
      <c r="BH73" s="25"/>
      <c r="BI73" s="25"/>
      <c r="BJ73" s="25"/>
      <c r="BK73" s="25"/>
      <c r="BL73" s="25"/>
      <c r="BM73" s="25"/>
      <c r="BN73" s="25"/>
      <c r="BO73" s="25"/>
      <c r="BP73" s="25"/>
      <c r="BQ73" s="25"/>
      <c r="BR73" s="25"/>
      <c r="BS73" s="25"/>
      <c r="BT73" s="25"/>
      <c r="BU73" s="25"/>
      <c r="BV73" s="25"/>
      <c r="BW73" s="25"/>
      <c r="BX73" s="25"/>
      <c r="BY73" s="25"/>
      <c r="BZ73" s="25"/>
      <c r="CA73" s="25"/>
      <c r="CB73" s="25"/>
      <c r="CC73" s="28"/>
      <c r="CD73" s="47"/>
      <c r="CE73" s="47"/>
      <c r="CF73" s="47"/>
      <c r="CG73" s="47"/>
    </row>
    <row r="74" spans="16:85" x14ac:dyDescent="0.3">
      <c r="P74" s="2"/>
      <c r="AH74" s="2"/>
      <c r="BC74">
        <v>223.3</v>
      </c>
      <c r="BG74" s="2"/>
      <c r="BH74" s="25"/>
      <c r="BI74" s="25"/>
      <c r="BJ74" s="25"/>
      <c r="BK74" s="25"/>
      <c r="BL74" s="25"/>
      <c r="BM74" s="25"/>
      <c r="BN74" s="25"/>
      <c r="BO74" s="25"/>
      <c r="BP74" s="25"/>
      <c r="BQ74" s="25"/>
      <c r="BR74" s="25"/>
      <c r="BS74" s="25"/>
      <c r="BT74" s="25"/>
      <c r="BU74" s="25"/>
      <c r="BV74" s="25"/>
      <c r="BW74" s="25"/>
      <c r="BX74" s="25"/>
      <c r="BY74" s="25"/>
      <c r="BZ74" s="25"/>
      <c r="CA74" s="25"/>
      <c r="CB74" s="25"/>
      <c r="CC74" s="28"/>
      <c r="CD74" s="47"/>
      <c r="CE74" s="47"/>
      <c r="CF74" s="47"/>
      <c r="CG74" s="47"/>
    </row>
    <row r="75" spans="16:85" x14ac:dyDescent="0.3">
      <c r="P75" s="2"/>
      <c r="AH75" s="2"/>
      <c r="BC75">
        <v>57.8</v>
      </c>
      <c r="BG75" s="2"/>
      <c r="BH75" s="25"/>
      <c r="BI75" s="25"/>
      <c r="BJ75" s="25"/>
      <c r="BK75" s="25"/>
      <c r="BL75" s="25"/>
      <c r="BM75" s="25"/>
      <c r="BN75" s="25"/>
      <c r="BO75" s="25"/>
      <c r="BP75" s="25"/>
      <c r="BQ75" s="25"/>
      <c r="BR75" s="25"/>
      <c r="BS75" s="25"/>
      <c r="BT75" s="25"/>
      <c r="BU75" s="25"/>
      <c r="BV75" s="25"/>
      <c r="BW75" s="25"/>
      <c r="BX75" s="25"/>
      <c r="BY75" s="25"/>
      <c r="BZ75" s="25"/>
      <c r="CA75" s="25"/>
      <c r="CB75" s="25"/>
      <c r="CC75" s="28"/>
      <c r="CD75" s="47"/>
      <c r="CE75" s="47"/>
      <c r="CF75" s="47"/>
      <c r="CG75" s="47"/>
    </row>
    <row r="76" spans="16:85" x14ac:dyDescent="0.3">
      <c r="P76" s="2"/>
      <c r="AH76" s="2"/>
      <c r="BC76">
        <v>183</v>
      </c>
      <c r="BG76" s="2"/>
      <c r="BH76" s="25"/>
      <c r="BI76" s="25"/>
      <c r="BJ76" s="25"/>
      <c r="BK76" s="25"/>
      <c r="BL76" s="25"/>
      <c r="BM76" s="25"/>
      <c r="BN76" s="25"/>
      <c r="BO76" s="25"/>
      <c r="BP76" s="25"/>
      <c r="BQ76" s="25"/>
      <c r="BR76" s="25"/>
      <c r="BS76" s="25"/>
      <c r="BT76" s="25"/>
      <c r="BU76" s="25"/>
      <c r="BV76" s="25"/>
      <c r="BW76" s="25"/>
      <c r="BX76" s="25"/>
      <c r="BY76" s="25"/>
      <c r="BZ76" s="25"/>
      <c r="CA76" s="25"/>
      <c r="CB76" s="25"/>
      <c r="CC76" s="28"/>
      <c r="CD76" s="47"/>
      <c r="CE76" s="47"/>
      <c r="CF76" s="47"/>
      <c r="CG76" s="47"/>
    </row>
    <row r="77" spans="16:85" x14ac:dyDescent="0.3">
      <c r="P77" s="2"/>
      <c r="AH77" s="2"/>
      <c r="BC77">
        <v>87.66</v>
      </c>
      <c r="BG77" s="2"/>
      <c r="BH77" s="25"/>
      <c r="BI77" s="25"/>
      <c r="BJ77" s="25"/>
      <c r="BK77" s="25"/>
      <c r="BL77" s="25"/>
      <c r="BM77" s="25"/>
      <c r="BN77" s="25"/>
      <c r="BO77" s="25"/>
      <c r="BP77" s="25"/>
      <c r="BQ77" s="25"/>
      <c r="BR77" s="25"/>
      <c r="BS77" s="25"/>
      <c r="BT77" s="25"/>
      <c r="BU77" s="25"/>
      <c r="BV77" s="25"/>
      <c r="BW77" s="25"/>
      <c r="BX77" s="25"/>
      <c r="BY77" s="25"/>
      <c r="BZ77" s="25"/>
      <c r="CA77" s="25"/>
      <c r="CB77" s="25"/>
      <c r="CC77" s="28"/>
      <c r="CD77" s="47"/>
      <c r="CE77" s="47"/>
      <c r="CF77" s="47"/>
      <c r="CG77" s="47"/>
    </row>
    <row r="78" spans="16:85" x14ac:dyDescent="0.3">
      <c r="P78" s="2"/>
      <c r="X78" s="12">
        <f>3026949-(AP32+AP49+AP68)</f>
        <v>1771997.628</v>
      </c>
      <c r="AH78" s="2"/>
      <c r="BB78" s="4">
        <f>SUM(BB54:BB77)</f>
        <v>2658.73</v>
      </c>
      <c r="BC78" s="4">
        <f t="shared" ref="BC78:BD78" si="0">SUM(BC54:BC77)</f>
        <v>3355.5600000000004</v>
      </c>
      <c r="BD78" s="4">
        <f t="shared" si="0"/>
        <v>1987.4600000000003</v>
      </c>
      <c r="BG78" s="2"/>
      <c r="BH78" s="25"/>
      <c r="BI78" s="25"/>
      <c r="BJ78" s="25"/>
      <c r="BK78" s="25"/>
      <c r="BL78" s="25"/>
      <c r="BM78" s="25"/>
      <c r="BN78" s="25"/>
      <c r="BO78" s="25"/>
      <c r="BP78" s="25"/>
      <c r="BQ78" s="25"/>
      <c r="BR78" s="25"/>
      <c r="BS78" s="25"/>
      <c r="BT78" s="25"/>
      <c r="BU78" s="25"/>
      <c r="BV78" s="25"/>
      <c r="BW78" s="25"/>
      <c r="BX78" s="25"/>
      <c r="BY78" s="25"/>
      <c r="BZ78" s="25"/>
      <c r="CA78" s="25"/>
      <c r="CB78" s="25"/>
      <c r="CC78" s="28"/>
      <c r="CD78" s="47"/>
      <c r="CE78" s="47"/>
      <c r="CF78" s="47"/>
      <c r="CG78" s="47"/>
    </row>
    <row r="79" spans="16:85" x14ac:dyDescent="0.3">
      <c r="P79" s="2"/>
      <c r="X79" s="12">
        <f>F16+F33+F48+F63+X14+X33</f>
        <v>1771998.1049000002</v>
      </c>
      <c r="AH79" s="2"/>
      <c r="BG79" s="2"/>
      <c r="BH79" s="25"/>
      <c r="BI79" s="25"/>
      <c r="BJ79" s="25"/>
      <c r="BK79" s="25"/>
      <c r="BL79" s="25"/>
      <c r="BM79" s="25"/>
      <c r="BN79" s="25"/>
      <c r="BO79" s="25"/>
      <c r="BP79" s="25"/>
      <c r="BQ79" s="25"/>
      <c r="BR79" s="25"/>
      <c r="BS79" s="25"/>
      <c r="BT79" s="25"/>
      <c r="BU79" s="25"/>
      <c r="BV79" s="25"/>
      <c r="BW79" s="25"/>
      <c r="BX79" s="25"/>
      <c r="BY79" s="25"/>
      <c r="BZ79" s="25"/>
      <c r="CA79" s="25"/>
      <c r="CB79" s="25"/>
      <c r="CC79" s="28"/>
      <c r="CD79" s="47"/>
      <c r="CE79" s="47"/>
      <c r="CF79" s="47"/>
      <c r="CG79" s="47"/>
    </row>
    <row r="80" spans="16:85" x14ac:dyDescent="0.3">
      <c r="P80" s="2"/>
      <c r="AH80" s="2"/>
      <c r="BG80" s="2"/>
      <c r="BH80" s="25"/>
      <c r="BI80" s="25"/>
      <c r="BJ80" s="25"/>
      <c r="BK80" s="25"/>
      <c r="BL80" s="25"/>
      <c r="BM80" s="25"/>
      <c r="BN80" s="25"/>
      <c r="BO80" s="25"/>
      <c r="BP80" s="25"/>
      <c r="BQ80" s="25"/>
      <c r="BR80" s="25"/>
      <c r="BS80" s="25"/>
      <c r="BT80" s="25"/>
      <c r="BU80" s="25"/>
      <c r="BV80" s="25"/>
      <c r="BW80" s="25"/>
      <c r="BX80" s="25"/>
      <c r="BY80" s="25"/>
      <c r="BZ80" s="25"/>
      <c r="CA80" s="25"/>
      <c r="CB80" s="25"/>
      <c r="CC80" s="28"/>
      <c r="CD80" s="47"/>
      <c r="CE80" s="47"/>
      <c r="CF80" s="47"/>
      <c r="CG80" s="47"/>
    </row>
    <row r="81" spans="1:85" x14ac:dyDescent="0.3">
      <c r="K81" s="12">
        <f>F16+F33+F48+F63+X14+X33+X49+AP32+AP49+AP68</f>
        <v>3212734.6409000005</v>
      </c>
      <c r="P81" s="2"/>
      <c r="AH81" s="2"/>
      <c r="BG81" s="2"/>
      <c r="BH81" s="25"/>
      <c r="BI81" s="25"/>
      <c r="BJ81" s="25"/>
      <c r="BK81" s="25"/>
      <c r="BL81" s="25"/>
      <c r="BM81" s="25"/>
      <c r="BN81" s="25"/>
      <c r="BO81" s="25"/>
      <c r="BP81" s="25"/>
      <c r="BQ81" s="25"/>
      <c r="BR81" s="25"/>
      <c r="BS81" s="25"/>
      <c r="BT81" s="25"/>
      <c r="BU81" s="25"/>
      <c r="BV81" s="25"/>
      <c r="BW81" s="25"/>
      <c r="BX81" s="25"/>
      <c r="BY81" s="25"/>
      <c r="BZ81" s="25"/>
      <c r="CA81" s="25"/>
      <c r="CB81" s="25"/>
      <c r="CC81" s="28"/>
      <c r="CD81" s="47"/>
      <c r="CE81" s="47"/>
      <c r="CF81" s="47"/>
      <c r="CG81" s="47"/>
    </row>
    <row r="82" spans="1:85" x14ac:dyDescent="0.3">
      <c r="P82" s="2"/>
      <c r="AH82" s="2"/>
      <c r="BG82" s="2"/>
      <c r="BH82" s="25"/>
      <c r="BI82" s="25"/>
      <c r="BJ82" s="25"/>
      <c r="BK82" s="25"/>
      <c r="BL82" s="25"/>
      <c r="BM82" s="25"/>
      <c r="BN82" s="25"/>
      <c r="BO82" s="25"/>
      <c r="BP82" s="25"/>
      <c r="BQ82" s="25"/>
      <c r="BR82" s="25"/>
      <c r="BS82" s="25"/>
      <c r="BT82" s="25"/>
      <c r="BU82" s="25"/>
      <c r="BV82" s="25"/>
      <c r="BW82" s="25"/>
      <c r="BX82" s="25"/>
      <c r="BY82" s="25"/>
      <c r="BZ82" s="25"/>
      <c r="CA82" s="25"/>
      <c r="CB82" s="25"/>
      <c r="CC82" s="28"/>
      <c r="CD82" s="47"/>
      <c r="CE82" s="47"/>
      <c r="CF82" s="47"/>
      <c r="CG82" s="47"/>
    </row>
    <row r="83" spans="1:85" x14ac:dyDescent="0.3">
      <c r="P83" s="2"/>
      <c r="AH83" s="2"/>
      <c r="BG83" s="2"/>
      <c r="BH83" s="25"/>
      <c r="BI83" s="25"/>
      <c r="BJ83" s="25"/>
      <c r="BK83" s="25"/>
      <c r="BL83" s="25"/>
      <c r="BM83" s="25"/>
      <c r="BN83" s="25"/>
      <c r="BO83" s="25"/>
      <c r="BP83" s="25"/>
      <c r="BQ83" s="25"/>
      <c r="BR83" s="25"/>
      <c r="BS83" s="25"/>
      <c r="BT83" s="25"/>
      <c r="BU83" s="25"/>
      <c r="BV83" s="25"/>
      <c r="BW83" s="25"/>
      <c r="BX83" s="25"/>
      <c r="BY83" s="25"/>
      <c r="BZ83" s="25"/>
      <c r="CA83" s="25"/>
      <c r="CB83" s="25"/>
      <c r="CC83" s="28"/>
      <c r="CD83" s="47"/>
      <c r="CE83" s="47"/>
      <c r="CF83" s="47"/>
      <c r="CG83" s="47"/>
    </row>
    <row r="84" spans="1:85" x14ac:dyDescent="0.3">
      <c r="P84" s="2"/>
      <c r="AH84" s="2"/>
      <c r="BG84" s="2"/>
      <c r="BH84" s="25"/>
      <c r="BI84" s="25"/>
      <c r="BJ84" s="25"/>
      <c r="BK84" s="25"/>
      <c r="BL84" s="25"/>
      <c r="BM84" s="25"/>
      <c r="BN84" s="25"/>
      <c r="BO84" s="25"/>
      <c r="BP84" s="25"/>
      <c r="BQ84" s="25"/>
      <c r="BR84" s="25"/>
      <c r="BS84" s="25"/>
      <c r="BT84" s="25"/>
      <c r="BU84" s="25"/>
      <c r="BV84" s="25"/>
      <c r="BW84" s="25"/>
      <c r="BX84" s="25"/>
      <c r="BY84" s="25"/>
      <c r="BZ84" s="25"/>
      <c r="CA84" s="25"/>
      <c r="CB84" s="25"/>
      <c r="CC84" s="28"/>
      <c r="CD84" s="47"/>
      <c r="CE84" s="47"/>
      <c r="CF84" s="47"/>
      <c r="CG84" s="47"/>
    </row>
    <row r="85" spans="1:85" x14ac:dyDescent="0.3">
      <c r="A85" s="2"/>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c r="AT85" s="28"/>
      <c r="AU85" s="28"/>
      <c r="AV85" s="28"/>
      <c r="AW85" s="28"/>
      <c r="AX85" s="28"/>
      <c r="AY85" s="28"/>
      <c r="AZ85" s="28"/>
      <c r="BA85" s="28"/>
      <c r="BB85" s="28"/>
      <c r="BC85" s="28"/>
      <c r="BD85" s="28"/>
      <c r="BE85" s="28"/>
      <c r="BF85" s="28"/>
      <c r="BG85" s="28"/>
      <c r="BH85" s="28"/>
      <c r="BI85" s="28"/>
      <c r="BJ85" s="28"/>
      <c r="BK85" s="28"/>
      <c r="BL85" s="28"/>
      <c r="BM85" s="28"/>
      <c r="BN85" s="28"/>
      <c r="BO85" s="28"/>
      <c r="BP85" s="28"/>
      <c r="BQ85" s="28"/>
      <c r="BR85" s="28"/>
      <c r="BS85" s="28"/>
      <c r="BT85" s="28"/>
      <c r="BU85" s="28"/>
      <c r="BV85" s="28"/>
      <c r="BW85" s="28"/>
      <c r="BX85" s="28"/>
      <c r="BY85" s="28"/>
      <c r="BZ85" s="28"/>
      <c r="CA85" s="28"/>
      <c r="CB85" s="28"/>
      <c r="CC85" s="28"/>
      <c r="CD85" s="47"/>
      <c r="CE85" s="47"/>
      <c r="CF85" s="47"/>
      <c r="CG85" s="47"/>
    </row>
    <row r="86" spans="1:85" x14ac:dyDescent="0.3">
      <c r="A86" s="58"/>
      <c r="B86" s="47"/>
      <c r="C86" s="47"/>
      <c r="D86" s="47"/>
      <c r="E86" s="47"/>
      <c r="F86" s="47"/>
      <c r="G86" s="47"/>
      <c r="H86" s="47"/>
      <c r="I86" s="47"/>
      <c r="J86" s="47"/>
      <c r="K86" s="47"/>
      <c r="L86" s="47"/>
      <c r="M86" s="47"/>
      <c r="N86" s="47"/>
      <c r="O86" s="47"/>
      <c r="P86" s="47"/>
      <c r="Q86" s="47"/>
      <c r="R86" s="47"/>
      <c r="S86" s="47"/>
      <c r="T86" s="58"/>
      <c r="U86" s="47"/>
      <c r="V86" s="47"/>
      <c r="W86" s="47"/>
      <c r="X86" s="47"/>
      <c r="Y86" s="47"/>
      <c r="Z86" s="47"/>
      <c r="AA86" s="47"/>
      <c r="AB86" s="47"/>
      <c r="AC86" s="47"/>
      <c r="AD86" s="47"/>
      <c r="AE86" s="47"/>
      <c r="AF86" s="47"/>
      <c r="AG86" s="47"/>
      <c r="AH86" s="47"/>
      <c r="AI86" s="47"/>
      <c r="AJ86" s="47"/>
      <c r="AK86" s="47"/>
      <c r="AL86" s="47"/>
      <c r="AM86" s="47"/>
      <c r="AN86" s="47"/>
      <c r="AO86" s="47"/>
      <c r="AP86" s="47"/>
      <c r="AQ86" s="47"/>
      <c r="AR86" s="47"/>
      <c r="AS86" s="47"/>
      <c r="AT86" s="47"/>
      <c r="AU86" s="47"/>
      <c r="AV86" s="47"/>
      <c r="AW86" s="47"/>
      <c r="AX86" s="47"/>
      <c r="AY86" s="47"/>
      <c r="AZ86" s="47"/>
      <c r="BA86" s="47"/>
      <c r="BB86" s="47"/>
      <c r="BC86" s="47"/>
      <c r="BD86" s="47"/>
      <c r="BE86" s="47"/>
      <c r="BF86" s="47"/>
      <c r="BG86" s="47"/>
      <c r="BH86" s="47"/>
      <c r="BI86" s="47"/>
      <c r="BJ86" s="47"/>
      <c r="BK86" s="47"/>
      <c r="BL86" s="47"/>
      <c r="BM86" s="47"/>
      <c r="BN86" s="47"/>
      <c r="BO86" s="47"/>
      <c r="BP86" s="47"/>
      <c r="BQ86" s="47"/>
      <c r="BR86" s="47"/>
      <c r="BS86" s="47"/>
      <c r="BT86" s="47"/>
      <c r="BU86" s="47"/>
      <c r="BV86" s="47"/>
      <c r="BW86" s="47"/>
      <c r="BX86" s="47"/>
      <c r="BY86" s="47"/>
      <c r="BZ86" s="47"/>
      <c r="CA86" s="47"/>
      <c r="CB86" s="47"/>
      <c r="CC86" s="47"/>
      <c r="CD86" s="47"/>
      <c r="CE86" s="47"/>
      <c r="CF86" s="47"/>
      <c r="CG86" s="47"/>
    </row>
    <row r="87" spans="1:85" x14ac:dyDescent="0.3">
      <c r="A87" s="58"/>
      <c r="B87" s="47"/>
      <c r="C87" s="47"/>
      <c r="D87" s="47"/>
      <c r="E87" s="47"/>
      <c r="F87" s="47"/>
      <c r="G87" s="47"/>
      <c r="H87" s="47"/>
      <c r="I87" s="47"/>
      <c r="J87" s="47"/>
      <c r="K87" s="47"/>
      <c r="L87" s="47"/>
      <c r="M87" s="47"/>
      <c r="N87" s="47"/>
      <c r="O87" s="47"/>
      <c r="P87" s="47"/>
      <c r="Q87" s="47"/>
      <c r="R87" s="47"/>
      <c r="S87" s="47"/>
      <c r="T87" s="47"/>
      <c r="U87" s="47"/>
      <c r="V87" s="47"/>
      <c r="W87" s="47"/>
      <c r="X87" s="47"/>
      <c r="Y87" s="47"/>
      <c r="Z87" s="47"/>
      <c r="AA87" s="47"/>
      <c r="AB87" s="47"/>
      <c r="AC87" s="47"/>
      <c r="AD87" s="47"/>
      <c r="AE87" s="47"/>
      <c r="AF87" s="47"/>
      <c r="AG87" s="47"/>
      <c r="AH87" s="47"/>
      <c r="AI87" s="47"/>
      <c r="AJ87" s="47"/>
      <c r="AK87" s="47"/>
      <c r="AL87" s="47"/>
      <c r="AM87" s="47"/>
      <c r="AN87" s="47"/>
      <c r="AO87" s="47"/>
      <c r="AP87" s="47"/>
      <c r="AQ87" s="47"/>
      <c r="AR87" s="47"/>
      <c r="AS87" s="47"/>
      <c r="AT87" s="47"/>
      <c r="AU87" s="47"/>
      <c r="AV87" s="47"/>
      <c r="AW87" s="47"/>
      <c r="AX87" s="47"/>
      <c r="AY87" s="47"/>
      <c r="AZ87" s="47"/>
      <c r="BA87" s="47"/>
      <c r="BB87" s="47"/>
      <c r="BC87" s="47"/>
      <c r="BD87" s="47"/>
      <c r="BE87" s="47"/>
      <c r="BF87" s="47"/>
      <c r="BG87" s="47"/>
      <c r="BH87" s="47"/>
      <c r="BI87" s="47"/>
      <c r="BJ87" s="47"/>
      <c r="BK87" s="47"/>
      <c r="BL87" s="47"/>
      <c r="BM87" s="47"/>
      <c r="BN87" s="47"/>
      <c r="BO87" s="47"/>
      <c r="BP87" s="47"/>
      <c r="BQ87" s="47"/>
      <c r="BR87" s="47"/>
      <c r="BS87" s="47"/>
      <c r="BT87" s="47"/>
      <c r="BU87" s="47"/>
      <c r="BV87" s="47"/>
      <c r="BW87" s="47"/>
      <c r="BX87" s="47"/>
      <c r="BY87" s="47"/>
      <c r="BZ87" s="47"/>
      <c r="CA87" s="47"/>
      <c r="CB87" s="47"/>
      <c r="CC87" s="47"/>
      <c r="CD87" s="47"/>
      <c r="CE87" s="47"/>
      <c r="CF87" s="47"/>
      <c r="CG87" s="47"/>
    </row>
    <row r="88" spans="1:85" x14ac:dyDescent="0.3">
      <c r="A88" s="58"/>
      <c r="B88" s="47"/>
      <c r="C88" s="47"/>
      <c r="D88" s="47"/>
      <c r="E88" s="47"/>
      <c r="F88" s="47"/>
      <c r="G88" s="47"/>
      <c r="H88" s="47"/>
      <c r="I88" s="47"/>
      <c r="J88" s="47"/>
      <c r="K88" s="47"/>
      <c r="L88" s="47"/>
      <c r="M88" s="47"/>
      <c r="N88" s="47"/>
      <c r="O88" s="47"/>
      <c r="P88" s="47"/>
      <c r="Q88" s="47"/>
      <c r="R88" s="47"/>
      <c r="S88" s="47"/>
      <c r="T88" s="47"/>
      <c r="U88" s="47"/>
      <c r="V88" s="47"/>
      <c r="W88" s="47"/>
      <c r="X88" s="47"/>
      <c r="Y88" s="47"/>
      <c r="Z88" s="47"/>
      <c r="AA88" s="47"/>
      <c r="AB88" s="47"/>
      <c r="AC88" s="47"/>
      <c r="AD88" s="47"/>
      <c r="AE88" s="47"/>
      <c r="AF88" s="47"/>
      <c r="AG88" s="47"/>
      <c r="AH88" s="47"/>
      <c r="AI88" s="47"/>
      <c r="AJ88" s="47"/>
      <c r="AK88" s="47"/>
      <c r="AL88" s="47"/>
      <c r="AM88" s="47"/>
      <c r="AN88" s="47"/>
      <c r="AO88" s="47"/>
      <c r="AP88" s="47"/>
      <c r="AQ88" s="47"/>
      <c r="AR88" s="47"/>
      <c r="AS88" s="47"/>
      <c r="AT88" s="47"/>
      <c r="AU88" s="47"/>
      <c r="AV88" s="47"/>
      <c r="AW88" s="47"/>
      <c r="AX88" s="47"/>
      <c r="AY88" s="47"/>
      <c r="AZ88" s="47"/>
      <c r="BA88" s="47"/>
      <c r="BB88" s="47"/>
      <c r="BC88" s="47"/>
      <c r="BD88" s="47"/>
      <c r="BE88" s="47"/>
      <c r="BF88" s="47"/>
      <c r="BG88" s="47"/>
      <c r="BH88" s="47"/>
      <c r="BI88" s="47"/>
      <c r="BJ88" s="47"/>
      <c r="BK88" s="47"/>
      <c r="BL88" s="47"/>
      <c r="BM88" s="47"/>
      <c r="BN88" s="47"/>
      <c r="BO88" s="47"/>
      <c r="BP88" s="47"/>
      <c r="BQ88" s="47"/>
      <c r="BR88" s="47"/>
      <c r="BS88" s="47"/>
      <c r="BT88" s="47"/>
      <c r="BU88" s="47"/>
      <c r="BV88" s="47"/>
      <c r="BW88" s="47"/>
      <c r="BX88" s="47"/>
      <c r="BY88" s="47"/>
      <c r="BZ88" s="47"/>
      <c r="CA88" s="47"/>
      <c r="CB88" s="47"/>
      <c r="CC88" s="47"/>
      <c r="CD88" s="47"/>
      <c r="CE88" s="47"/>
      <c r="CF88" s="47"/>
      <c r="CG88" s="47"/>
    </row>
    <row r="89" spans="1:85" x14ac:dyDescent="0.3">
      <c r="A89" s="58"/>
      <c r="B89" s="47"/>
      <c r="C89" s="47"/>
      <c r="D89" s="47"/>
      <c r="E89" s="47"/>
      <c r="F89" s="47"/>
      <c r="G89" s="47"/>
      <c r="H89" s="47"/>
      <c r="I89" s="47"/>
      <c r="J89" s="47"/>
      <c r="K89" s="47"/>
      <c r="L89" s="47"/>
      <c r="M89" s="47"/>
      <c r="N89" s="47"/>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c r="AN89" s="47"/>
      <c r="AO89" s="47"/>
      <c r="AP89" s="47"/>
      <c r="AQ89" s="47"/>
      <c r="AR89" s="47"/>
      <c r="AS89" s="47"/>
      <c r="AT89" s="47"/>
      <c r="AU89" s="47"/>
      <c r="AV89" s="47"/>
      <c r="AW89" s="47"/>
      <c r="AX89" s="47"/>
      <c r="AY89" s="47"/>
      <c r="AZ89" s="47"/>
      <c r="BA89" s="47"/>
      <c r="BB89" s="47"/>
      <c r="BC89" s="47"/>
      <c r="BD89" s="47"/>
      <c r="BE89" s="47"/>
      <c r="BF89" s="47"/>
      <c r="BG89" s="47"/>
      <c r="BH89" s="47"/>
      <c r="BI89" s="47"/>
      <c r="BJ89" s="47"/>
      <c r="BK89" s="47"/>
      <c r="BL89" s="47"/>
      <c r="BM89" s="47"/>
      <c r="BN89" s="47"/>
      <c r="BO89" s="47"/>
      <c r="BP89" s="47"/>
      <c r="BQ89" s="47"/>
      <c r="BR89" s="47"/>
      <c r="BS89" s="47"/>
      <c r="BT89" s="47"/>
      <c r="BU89" s="47"/>
      <c r="BV89" s="47"/>
      <c r="BW89" s="47"/>
      <c r="BX89" s="47"/>
      <c r="BY89" s="47"/>
      <c r="BZ89" s="47"/>
      <c r="CA89" s="47"/>
      <c r="CB89" s="47"/>
      <c r="CC89" s="47"/>
      <c r="CD89" s="47"/>
      <c r="CE89" s="47"/>
      <c r="CF89" s="47"/>
      <c r="CG89" s="47"/>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Button 1">
              <controlPr defaultSize="0" print="0" autoFill="0" autoPict="0" macro="[1]!RechercherEmissions">
                <anchor moveWithCells="1" sizeWithCells="1">
                  <from>
                    <xdr:col>59</xdr:col>
                    <xdr:colOff>556260</xdr:colOff>
                    <xdr:row>21</xdr:row>
                    <xdr:rowOff>68580</xdr:rowOff>
                  </from>
                  <to>
                    <xdr:col>65</xdr:col>
                    <xdr:colOff>251460</xdr:colOff>
                    <xdr:row>31</xdr:row>
                    <xdr:rowOff>0</xdr:rowOff>
                  </to>
                </anchor>
              </controlPr>
            </control>
          </mc:Choice>
        </mc:AlternateContent>
      </controls>
    </mc:Choice>
  </mc:AlternateContent>
  <tableParts count="25">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75577-AF4B-4A94-A2B1-C1531A109378}">
  <sheetPr codeName="Feuil5"/>
  <dimension ref="A1:BL172"/>
  <sheetViews>
    <sheetView topLeftCell="I26" zoomScale="77" zoomScaleNormal="55" workbookViewId="0">
      <selection activeCell="K52" sqref="K52:AD53"/>
    </sheetView>
  </sheetViews>
  <sheetFormatPr baseColWidth="10" defaultRowHeight="14.4" x14ac:dyDescent="0.3"/>
  <sheetData>
    <row r="1" spans="1:64" x14ac:dyDescent="0.3">
      <c r="A1" s="62"/>
      <c r="B1" s="62"/>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62"/>
      <c r="AY1" s="62"/>
      <c r="AZ1" s="62"/>
      <c r="BA1" s="62"/>
      <c r="BB1" s="62"/>
    </row>
    <row r="2" spans="1:64" x14ac:dyDescent="0.3">
      <c r="A2" s="62"/>
      <c r="B2" s="62"/>
      <c r="C2" s="62"/>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row>
    <row r="3" spans="1:64" x14ac:dyDescent="0.3">
      <c r="A3" s="62"/>
      <c r="B3" s="62"/>
      <c r="C3" s="62"/>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c r="AL3" s="62"/>
      <c r="AM3" s="62"/>
      <c r="AN3" s="62"/>
      <c r="AO3" s="62"/>
      <c r="AP3" s="62"/>
      <c r="AQ3" s="62"/>
      <c r="AR3" s="62"/>
      <c r="AS3" s="62"/>
      <c r="AT3" s="62"/>
      <c r="AU3" s="62"/>
      <c r="AV3" s="62"/>
      <c r="AW3" s="62"/>
      <c r="AX3" s="62"/>
      <c r="AY3" s="62"/>
      <c r="AZ3" s="62"/>
      <c r="BA3" s="62"/>
      <c r="BB3" s="62"/>
      <c r="BC3" s="62"/>
      <c r="BD3" s="62"/>
      <c r="BE3" s="62"/>
      <c r="BF3" s="62"/>
      <c r="BG3" s="62"/>
      <c r="BH3" s="62"/>
      <c r="BI3" s="62"/>
      <c r="BJ3" s="62"/>
      <c r="BK3" s="62"/>
    </row>
    <row r="4" spans="1:64" x14ac:dyDescent="0.3">
      <c r="A4" s="62"/>
      <c r="B4" s="62"/>
      <c r="C4" s="59" t="s">
        <v>99</v>
      </c>
      <c r="D4" s="61" t="s">
        <v>118</v>
      </c>
      <c r="E4" s="61" t="s">
        <v>34</v>
      </c>
      <c r="F4" s="61" t="s">
        <v>46</v>
      </c>
      <c r="G4" s="61" t="s">
        <v>15</v>
      </c>
      <c r="H4" s="61" t="s">
        <v>43</v>
      </c>
      <c r="I4" s="61" t="s">
        <v>47</v>
      </c>
      <c r="J4" s="61" t="s">
        <v>16</v>
      </c>
      <c r="K4" s="61" t="s">
        <v>44</v>
      </c>
      <c r="L4" s="61" t="s">
        <v>48</v>
      </c>
      <c r="M4" s="61" t="s">
        <v>17</v>
      </c>
      <c r="N4" s="61" t="s">
        <v>45</v>
      </c>
      <c r="O4" s="61" t="s">
        <v>49</v>
      </c>
      <c r="P4" s="59" t="s">
        <v>119</v>
      </c>
      <c r="Q4" s="62"/>
      <c r="R4" s="62"/>
      <c r="S4" s="62"/>
      <c r="T4" s="62"/>
      <c r="U4" s="62"/>
      <c r="V4" s="62"/>
      <c r="W4" s="62"/>
      <c r="X4" s="62"/>
      <c r="Y4" s="62"/>
      <c r="Z4" s="62"/>
      <c r="AA4" s="62"/>
      <c r="AB4" s="62"/>
      <c r="AC4" s="62"/>
      <c r="AD4" s="62"/>
      <c r="AE4" s="62"/>
      <c r="AF4" s="62"/>
      <c r="AG4" s="61" t="s">
        <v>0</v>
      </c>
      <c r="AH4" s="61" t="s">
        <v>34</v>
      </c>
      <c r="AI4" s="61" t="s">
        <v>46</v>
      </c>
      <c r="AJ4" s="61" t="s">
        <v>15</v>
      </c>
      <c r="AK4" s="61" t="s">
        <v>43</v>
      </c>
      <c r="AL4" s="61" t="s">
        <v>47</v>
      </c>
      <c r="AM4" s="61" t="s">
        <v>16</v>
      </c>
      <c r="AN4" s="61" t="s">
        <v>44</v>
      </c>
      <c r="AO4" s="61" t="s">
        <v>48</v>
      </c>
      <c r="AP4" s="61" t="s">
        <v>17</v>
      </c>
      <c r="AQ4" s="61" t="s">
        <v>45</v>
      </c>
      <c r="AR4" s="61" t="s">
        <v>49</v>
      </c>
      <c r="AS4" s="62"/>
      <c r="AT4" s="62"/>
      <c r="AU4" s="62"/>
      <c r="AV4" s="62"/>
      <c r="AW4" s="62"/>
      <c r="AX4" s="62"/>
      <c r="AY4" s="62"/>
      <c r="AZ4" s="62"/>
      <c r="BA4" s="62"/>
      <c r="BB4" s="62"/>
      <c r="BC4" s="62"/>
      <c r="BD4" s="62"/>
      <c r="BE4" s="62"/>
      <c r="BF4" s="62"/>
      <c r="BG4" s="62"/>
      <c r="BH4" s="62"/>
      <c r="BI4" s="62"/>
      <c r="BJ4" s="62"/>
      <c r="BK4" s="62"/>
    </row>
    <row r="5" spans="1:64" x14ac:dyDescent="0.3">
      <c r="A5" s="62"/>
      <c r="B5" s="62"/>
      <c r="C5" s="61" t="s">
        <v>116</v>
      </c>
      <c r="D5" s="60">
        <v>292919.66610800405</v>
      </c>
      <c r="E5" s="60">
        <v>502963.46280239697</v>
      </c>
      <c r="F5" s="60">
        <v>397684.80663096311</v>
      </c>
      <c r="G5" s="60">
        <v>343256.46</v>
      </c>
      <c r="H5" s="60">
        <v>342774.22</v>
      </c>
      <c r="I5" s="60">
        <v>357672.2</v>
      </c>
      <c r="J5" s="60">
        <v>343544.79</v>
      </c>
      <c r="K5" s="60">
        <v>378899.79</v>
      </c>
      <c r="L5" s="60">
        <v>423634.96</v>
      </c>
      <c r="M5" s="60">
        <v>278324.82</v>
      </c>
      <c r="N5" s="60"/>
      <c r="O5" s="60"/>
      <c r="P5" s="60"/>
      <c r="Q5" s="62"/>
      <c r="R5" s="62"/>
      <c r="S5" s="62"/>
      <c r="T5" s="62"/>
      <c r="U5" s="62"/>
      <c r="V5" s="62"/>
      <c r="W5" s="62"/>
      <c r="X5" s="62"/>
      <c r="Y5" s="62"/>
      <c r="Z5" s="62"/>
      <c r="AA5" s="62"/>
      <c r="AB5" s="62"/>
      <c r="AC5" s="62"/>
      <c r="AD5" s="62"/>
      <c r="AE5" s="62"/>
      <c r="AF5" s="62"/>
      <c r="AG5" s="60">
        <v>302945.91900000005</v>
      </c>
      <c r="AH5" s="60">
        <v>524070.0039999999</v>
      </c>
      <c r="AI5" s="60">
        <v>414187.37300000008</v>
      </c>
      <c r="AJ5" s="60">
        <v>296379.96400000004</v>
      </c>
      <c r="AK5" s="60">
        <v>253503.12000000005</v>
      </c>
      <c r="AL5" s="60">
        <v>329494.41199999995</v>
      </c>
      <c r="AM5" s="60">
        <v>231115.57100000003</v>
      </c>
      <c r="AN5" s="60">
        <v>322514.45199999999</v>
      </c>
      <c r="AO5" s="60">
        <v>321381.65000000002</v>
      </c>
      <c r="AP5" s="60">
        <v>183882.11100000003</v>
      </c>
      <c r="AQ5" s="60">
        <v>155733.212</v>
      </c>
      <c r="AR5" s="60">
        <v>368054.66100000008</v>
      </c>
      <c r="AS5" s="62"/>
      <c r="AT5" s="62"/>
      <c r="AU5" s="62"/>
      <c r="AV5" s="62"/>
      <c r="AW5" s="62"/>
      <c r="AX5" s="62"/>
      <c r="AY5" s="62"/>
      <c r="AZ5" s="62"/>
      <c r="BA5" s="62"/>
      <c r="BB5" s="62"/>
      <c r="BC5" s="62"/>
      <c r="BD5" s="62"/>
      <c r="BE5" s="62"/>
      <c r="BF5" s="62"/>
      <c r="BG5" s="62"/>
      <c r="BH5" s="62"/>
      <c r="BI5" s="62"/>
      <c r="BJ5" s="62"/>
      <c r="BK5" s="62"/>
    </row>
    <row r="6" spans="1:64" x14ac:dyDescent="0.3">
      <c r="A6" s="62"/>
      <c r="B6" s="62"/>
      <c r="C6" s="61" t="s">
        <v>31</v>
      </c>
      <c r="D6" s="60">
        <v>13222.681021836002</v>
      </c>
      <c r="E6" s="60">
        <v>22704.264014222998</v>
      </c>
      <c r="F6" s="60">
        <v>17951.882218017003</v>
      </c>
      <c r="G6" s="60">
        <v>13271.224</v>
      </c>
      <c r="H6" s="60">
        <v>18265.696</v>
      </c>
      <c r="I6" s="60">
        <v>15565.999</v>
      </c>
      <c r="J6" s="60">
        <v>15690.309000000001</v>
      </c>
      <c r="K6" s="60">
        <v>18430.213</v>
      </c>
      <c r="L6" s="60">
        <v>17992.93</v>
      </c>
      <c r="M6" s="60">
        <v>6527.8249999999998</v>
      </c>
      <c r="N6" s="60"/>
      <c r="O6" s="60"/>
      <c r="P6" s="60"/>
      <c r="Q6" s="62"/>
      <c r="R6" s="62"/>
      <c r="S6" s="62"/>
      <c r="T6" s="62"/>
      <c r="U6" s="62"/>
      <c r="V6" s="62"/>
      <c r="W6" s="62"/>
      <c r="X6" s="62"/>
      <c r="Y6" s="62"/>
      <c r="Z6" s="62"/>
      <c r="AA6" s="62"/>
      <c r="AB6" s="62"/>
      <c r="AC6" s="62"/>
      <c r="AD6" s="62"/>
      <c r="AE6" s="62"/>
      <c r="AF6" s="62"/>
      <c r="AG6" s="60">
        <v>5038.1730000000007</v>
      </c>
      <c r="AH6" s="60">
        <v>4760.1269999999995</v>
      </c>
      <c r="AI6" s="60">
        <v>3949.7760000000007</v>
      </c>
      <c r="AJ6" s="60">
        <v>1263.7620000000002</v>
      </c>
      <c r="AK6" s="60">
        <v>791.66700000000014</v>
      </c>
      <c r="AL6" s="60">
        <v>3272.616</v>
      </c>
      <c r="AM6" s="60">
        <v>2579.4990000000007</v>
      </c>
      <c r="AN6" s="60">
        <v>2536.65</v>
      </c>
      <c r="AO6" s="60">
        <v>1503.1980000000001</v>
      </c>
      <c r="AP6" s="60">
        <v>1219.2930000000001</v>
      </c>
      <c r="AQ6" s="60">
        <v>1672.8389999999999</v>
      </c>
      <c r="AR6" s="60">
        <v>5896.0710000000008</v>
      </c>
      <c r="AS6" s="62"/>
      <c r="AT6" s="62"/>
      <c r="AU6" s="62"/>
      <c r="AV6" s="62"/>
      <c r="AW6" s="62"/>
      <c r="AX6" s="62"/>
      <c r="AY6" s="62"/>
      <c r="AZ6" s="62"/>
      <c r="BA6" s="62"/>
      <c r="BB6" s="62"/>
      <c r="BC6" s="62"/>
      <c r="BD6" s="62"/>
      <c r="BE6" s="62"/>
      <c r="BF6" s="62"/>
      <c r="BG6" s="62"/>
      <c r="BH6" s="62"/>
      <c r="BI6" s="62"/>
      <c r="BJ6" s="62"/>
      <c r="BK6" s="62"/>
    </row>
    <row r="7" spans="1:64" x14ac:dyDescent="0.3">
      <c r="A7" s="62"/>
      <c r="B7" s="62"/>
      <c r="C7" s="61" t="s">
        <v>117</v>
      </c>
      <c r="D7" s="60">
        <v>1841.7448701600003</v>
      </c>
      <c r="E7" s="60">
        <v>3162.4041833799997</v>
      </c>
      <c r="F7" s="60">
        <v>2500.4601510200005</v>
      </c>
      <c r="G7" s="60">
        <v>893.07900000000006</v>
      </c>
      <c r="H7" s="60">
        <v>2467.5839999999998</v>
      </c>
      <c r="I7" s="60">
        <v>2711.9340000000002</v>
      </c>
      <c r="J7" s="60">
        <v>3184.3799999999997</v>
      </c>
      <c r="K7" s="60">
        <v>2116.8000000000002</v>
      </c>
      <c r="L7" s="60">
        <v>2357.1799999999998</v>
      </c>
      <c r="M7" s="60">
        <v>2181.627</v>
      </c>
      <c r="N7" s="60"/>
      <c r="O7" s="60"/>
      <c r="P7" s="60"/>
      <c r="Q7" s="62"/>
      <c r="R7" s="62"/>
      <c r="S7" s="62"/>
      <c r="T7" s="62"/>
      <c r="U7" s="62"/>
      <c r="V7" s="62"/>
      <c r="W7" s="62"/>
      <c r="X7" s="62"/>
      <c r="Y7" s="62"/>
      <c r="Z7" s="62"/>
      <c r="AA7" s="62"/>
      <c r="AB7" s="62"/>
      <c r="AC7" s="62"/>
      <c r="AD7" s="62"/>
      <c r="AE7" s="62"/>
      <c r="AF7" s="62"/>
      <c r="AG7" s="60">
        <v>0</v>
      </c>
      <c r="AH7" s="60">
        <v>0</v>
      </c>
      <c r="AI7" s="60">
        <v>0</v>
      </c>
      <c r="AJ7" s="60">
        <v>1110.3441</v>
      </c>
      <c r="AK7" s="60">
        <v>1003.0626000000002</v>
      </c>
      <c r="AL7" s="60">
        <v>1065.8775000000001</v>
      </c>
      <c r="AM7" s="60">
        <v>689.57640000000004</v>
      </c>
      <c r="AN7" s="60">
        <v>755.56590000000017</v>
      </c>
      <c r="AO7" s="60">
        <v>1037.1174000000001</v>
      </c>
      <c r="AP7" s="60">
        <v>683.7600000000001</v>
      </c>
      <c r="AQ7" s="60">
        <v>1002.7518000000001</v>
      </c>
      <c r="AR7" s="60">
        <v>875.13510000000019</v>
      </c>
      <c r="AS7" s="62"/>
      <c r="AT7" s="62"/>
      <c r="AU7" s="62"/>
      <c r="AV7" s="62"/>
      <c r="AW7" s="62"/>
      <c r="AX7" s="62"/>
      <c r="AY7" s="62"/>
      <c r="AZ7" s="62"/>
      <c r="BA7" s="62"/>
      <c r="BB7" s="62"/>
      <c r="BC7" s="62"/>
      <c r="BD7" s="62"/>
      <c r="BE7" s="62"/>
      <c r="BF7" s="62"/>
      <c r="BG7" s="62"/>
      <c r="BH7" s="62"/>
      <c r="BI7" s="62"/>
      <c r="BJ7" s="62"/>
      <c r="BK7" s="62"/>
    </row>
    <row r="8" spans="1:64" x14ac:dyDescent="0.3">
      <c r="A8" s="62"/>
      <c r="B8" s="62"/>
      <c r="C8" s="61" t="s">
        <v>4</v>
      </c>
      <c r="D8" s="60">
        <v>307984.09200000006</v>
      </c>
      <c r="E8" s="60">
        <v>528830.13099999994</v>
      </c>
      <c r="F8" s="60">
        <v>418137.14900000009</v>
      </c>
      <c r="G8" s="60">
        <v>357420.76300000004</v>
      </c>
      <c r="H8" s="60">
        <v>363507.5</v>
      </c>
      <c r="I8" s="60">
        <v>375950.13300000003</v>
      </c>
      <c r="J8" s="60">
        <v>362419.47899999999</v>
      </c>
      <c r="K8" s="60">
        <v>399446.80299999996</v>
      </c>
      <c r="L8" s="60">
        <v>443985.07</v>
      </c>
      <c r="M8" s="60">
        <v>287034.272</v>
      </c>
      <c r="N8" s="60"/>
      <c r="O8" s="60"/>
      <c r="P8" s="60"/>
      <c r="Q8" s="62"/>
      <c r="R8" s="62"/>
      <c r="S8" s="62"/>
      <c r="T8" s="62"/>
      <c r="U8" s="62"/>
      <c r="V8" s="62"/>
      <c r="W8" s="62"/>
      <c r="X8" s="62"/>
      <c r="Y8" s="62"/>
      <c r="Z8" s="62"/>
      <c r="AA8" s="62"/>
      <c r="AB8" s="62"/>
      <c r="AC8" s="62"/>
      <c r="AD8" s="62"/>
      <c r="AE8" s="62"/>
      <c r="AF8" s="62"/>
      <c r="AG8" s="60">
        <v>307984.09200000006</v>
      </c>
      <c r="AH8" s="60">
        <v>528830.13099999994</v>
      </c>
      <c r="AI8" s="60">
        <v>418137.14900000009</v>
      </c>
      <c r="AJ8" s="60">
        <v>298754.07010000001</v>
      </c>
      <c r="AK8" s="60">
        <v>255297.84960000005</v>
      </c>
      <c r="AL8" s="60">
        <v>333832.90549999994</v>
      </c>
      <c r="AM8" s="60">
        <v>234384.64640000003</v>
      </c>
      <c r="AN8" s="60">
        <v>325806.6679</v>
      </c>
      <c r="AO8" s="60">
        <v>323921.96540000004</v>
      </c>
      <c r="AP8" s="60">
        <v>185785.16400000005</v>
      </c>
      <c r="AQ8" s="60">
        <v>158408.8028</v>
      </c>
      <c r="AR8" s="60">
        <v>374825.86710000009</v>
      </c>
      <c r="AS8" s="62"/>
      <c r="AT8" s="62"/>
      <c r="AU8" s="62"/>
      <c r="AV8" s="62"/>
      <c r="AW8" s="62"/>
      <c r="AX8" s="62"/>
      <c r="AY8" s="62"/>
      <c r="AZ8" s="62"/>
      <c r="BA8" s="62"/>
      <c r="BB8" s="62"/>
      <c r="BC8" s="62"/>
      <c r="BD8" s="62"/>
      <c r="BE8" s="62"/>
      <c r="BF8" s="62"/>
      <c r="BG8" s="62"/>
      <c r="BH8" s="62"/>
      <c r="BI8" s="62"/>
      <c r="BJ8" s="62"/>
      <c r="BK8" s="62"/>
    </row>
    <row r="9" spans="1:64" x14ac:dyDescent="0.3">
      <c r="A9" s="62"/>
      <c r="B9" s="62"/>
      <c r="C9" s="62"/>
      <c r="D9" s="62"/>
      <c r="E9" s="62"/>
      <c r="F9" s="62"/>
      <c r="G9" s="62"/>
      <c r="H9" s="62"/>
      <c r="I9" s="62"/>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2"/>
      <c r="AW9" s="62"/>
      <c r="AX9" s="62"/>
      <c r="AY9" s="62"/>
      <c r="AZ9" s="62"/>
      <c r="BA9" s="62"/>
      <c r="BB9" s="62"/>
      <c r="BC9" s="62"/>
      <c r="BD9" s="62"/>
      <c r="BE9" s="62"/>
      <c r="BF9" s="62"/>
      <c r="BG9" s="62"/>
      <c r="BH9" s="62"/>
      <c r="BI9" s="62"/>
      <c r="BJ9" s="62"/>
      <c r="BK9" s="62"/>
      <c r="BL9" s="62"/>
    </row>
    <row r="10" spans="1:64" x14ac:dyDescent="0.3">
      <c r="A10" s="62"/>
      <c r="B10" s="62"/>
      <c r="C10" s="62"/>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2"/>
      <c r="AO10" s="62"/>
      <c r="AP10" s="62"/>
      <c r="AQ10" s="62"/>
      <c r="AR10" s="62"/>
      <c r="AS10" s="62"/>
      <c r="AT10" s="62"/>
      <c r="AU10" s="62"/>
      <c r="AV10" s="62"/>
      <c r="AW10" s="62"/>
      <c r="AX10" s="62"/>
      <c r="AY10" s="62"/>
      <c r="AZ10" s="62"/>
      <c r="BA10" s="62"/>
      <c r="BB10" s="62"/>
      <c r="BC10" s="62"/>
      <c r="BD10" s="62"/>
      <c r="BE10" s="62"/>
      <c r="BF10" s="62"/>
      <c r="BG10" s="62"/>
      <c r="BH10" s="62"/>
      <c r="BI10" s="62"/>
      <c r="BJ10" s="62"/>
      <c r="BK10" s="62"/>
      <c r="BL10" s="62"/>
    </row>
    <row r="11" spans="1:64" x14ac:dyDescent="0.3">
      <c r="A11" s="62"/>
      <c r="B11" s="62"/>
      <c r="C11" s="62"/>
      <c r="D11" s="62"/>
      <c r="E11" s="62"/>
      <c r="F11" s="62"/>
      <c r="G11" s="62"/>
      <c r="H11" s="62"/>
      <c r="I11" s="62"/>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2"/>
      <c r="AO11" s="62"/>
      <c r="AP11" s="62"/>
      <c r="AQ11" s="62"/>
      <c r="AR11" s="62"/>
      <c r="AS11" s="62"/>
      <c r="AT11" s="62"/>
      <c r="AU11" s="62"/>
      <c r="AV11" s="62"/>
      <c r="AW11" s="62"/>
      <c r="AX11" s="62"/>
      <c r="AY11" s="62"/>
      <c r="AZ11" s="62"/>
      <c r="BA11" s="62"/>
      <c r="BB11" s="62"/>
      <c r="BC11" s="62"/>
      <c r="BD11" s="62"/>
      <c r="BE11" s="62"/>
      <c r="BF11" s="62"/>
      <c r="BG11" s="62"/>
      <c r="BH11" s="62"/>
      <c r="BI11" s="62"/>
      <c r="BJ11" s="62"/>
      <c r="BK11" s="62"/>
      <c r="BL11" s="62"/>
    </row>
    <row r="12" spans="1:64" x14ac:dyDescent="0.3">
      <c r="A12" s="62"/>
      <c r="B12" s="62"/>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2"/>
      <c r="AO12" s="62"/>
      <c r="AP12" s="62"/>
      <c r="AQ12" s="62"/>
      <c r="AR12" s="62"/>
      <c r="AS12" s="62"/>
      <c r="AT12" s="62"/>
      <c r="AU12" s="62"/>
      <c r="AV12" s="62"/>
      <c r="AW12" s="62"/>
      <c r="AX12" s="62"/>
      <c r="AY12" s="62"/>
      <c r="AZ12" s="62"/>
      <c r="BA12" s="62"/>
      <c r="BB12" s="62"/>
      <c r="BC12" s="62"/>
      <c r="BD12" s="62"/>
      <c r="BE12" s="62"/>
      <c r="BF12" s="62"/>
      <c r="BG12" s="62"/>
      <c r="BH12" s="62"/>
      <c r="BI12" s="62"/>
      <c r="BJ12" s="62"/>
      <c r="BK12" s="62"/>
      <c r="BL12" s="62"/>
    </row>
    <row r="13" spans="1:64" x14ac:dyDescent="0.3">
      <c r="A13" s="62"/>
      <c r="B13" s="62"/>
      <c r="C13" s="59">
        <v>2023</v>
      </c>
      <c r="D13" s="61" t="s">
        <v>15</v>
      </c>
      <c r="E13" s="61" t="s">
        <v>43</v>
      </c>
      <c r="F13" s="61" t="s">
        <v>47</v>
      </c>
      <c r="G13" s="61" t="s">
        <v>16</v>
      </c>
      <c r="H13" s="61" t="s">
        <v>44</v>
      </c>
      <c r="I13" s="61" t="s">
        <v>48</v>
      </c>
      <c r="J13" s="61" t="s">
        <v>17</v>
      </c>
      <c r="K13" s="61" t="s">
        <v>45</v>
      </c>
      <c r="L13" s="61" t="s">
        <v>49</v>
      </c>
      <c r="M13" s="61" t="s">
        <v>0</v>
      </c>
      <c r="N13" s="61" t="s">
        <v>34</v>
      </c>
      <c r="O13" s="61" t="s">
        <v>46</v>
      </c>
      <c r="P13" s="59" t="s">
        <v>119</v>
      </c>
      <c r="Q13" s="62"/>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2"/>
      <c r="AY13" s="62"/>
      <c r="AZ13" s="62"/>
      <c r="BA13" s="62"/>
      <c r="BB13" s="62"/>
      <c r="BC13" s="62"/>
      <c r="BD13" s="62"/>
      <c r="BE13" s="62"/>
      <c r="BF13" s="62"/>
      <c r="BG13" s="62"/>
      <c r="BH13" s="62"/>
      <c r="BI13" s="62"/>
      <c r="BJ13" s="62"/>
      <c r="BK13" s="62"/>
    </row>
    <row r="14" spans="1:64" x14ac:dyDescent="0.3">
      <c r="A14" s="62"/>
      <c r="B14" s="62"/>
      <c r="C14" s="61" t="s">
        <v>14</v>
      </c>
      <c r="D14" s="60">
        <v>296379.96400000004</v>
      </c>
      <c r="E14" s="60">
        <v>253503.12000000005</v>
      </c>
      <c r="F14" s="60">
        <v>329494.41199999995</v>
      </c>
      <c r="G14" s="60">
        <v>231115.57100000003</v>
      </c>
      <c r="H14" s="60">
        <v>322514.45199999999</v>
      </c>
      <c r="I14" s="60">
        <v>321381.65000000002</v>
      </c>
      <c r="J14" s="60">
        <v>183882.11100000003</v>
      </c>
      <c r="K14" s="60">
        <v>155733.212</v>
      </c>
      <c r="L14" s="60">
        <v>368054.66100000008</v>
      </c>
      <c r="M14" s="60">
        <v>302945.91900000005</v>
      </c>
      <c r="N14" s="60">
        <v>524070.0039999999</v>
      </c>
      <c r="O14" s="60">
        <v>414187.37300000008</v>
      </c>
      <c r="P14" s="60">
        <f>SUM(D14:O14)</f>
        <v>3703262.4490000005</v>
      </c>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2"/>
      <c r="AT14" s="62"/>
      <c r="AU14" s="62"/>
      <c r="AV14" s="62"/>
      <c r="AW14" s="62"/>
      <c r="AX14" s="62"/>
      <c r="AY14" s="62"/>
      <c r="AZ14" s="62"/>
      <c r="BA14" s="62"/>
      <c r="BB14" s="62"/>
      <c r="BC14" s="62"/>
      <c r="BD14" s="62"/>
      <c r="BE14" s="62"/>
      <c r="BF14" s="62"/>
      <c r="BG14" s="62"/>
      <c r="BH14" s="62"/>
      <c r="BI14" s="62"/>
      <c r="BJ14" s="62"/>
      <c r="BK14" s="62"/>
    </row>
    <row r="15" spans="1:64" x14ac:dyDescent="0.3">
      <c r="A15" s="62"/>
      <c r="B15" s="62"/>
      <c r="C15" s="61" t="s">
        <v>18</v>
      </c>
      <c r="D15" s="60">
        <v>1263.7620000000002</v>
      </c>
      <c r="E15" s="60">
        <v>791.66700000000014</v>
      </c>
      <c r="F15" s="60">
        <v>3272.616</v>
      </c>
      <c r="G15" s="60">
        <v>2579.4990000000007</v>
      </c>
      <c r="H15" s="60">
        <v>2536.65</v>
      </c>
      <c r="I15" s="60">
        <v>1503.1980000000001</v>
      </c>
      <c r="J15" s="60">
        <v>1219.2930000000001</v>
      </c>
      <c r="K15" s="60">
        <v>1672.8389999999999</v>
      </c>
      <c r="L15" s="60">
        <v>5896.0710000000008</v>
      </c>
      <c r="M15" s="60">
        <v>5038.1730000000007</v>
      </c>
      <c r="N15" s="60">
        <v>4760.1269999999995</v>
      </c>
      <c r="O15" s="60">
        <v>3949.7760000000007</v>
      </c>
      <c r="P15" s="60">
        <f t="shared" ref="P15:P17" si="0">SUM(D15:O15)</f>
        <v>34483.671000000002</v>
      </c>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c r="AR15" s="62"/>
      <c r="AS15" s="62"/>
      <c r="AT15" s="62"/>
      <c r="AU15" s="62"/>
      <c r="AV15" s="62"/>
      <c r="AW15" s="62"/>
      <c r="AX15" s="62"/>
      <c r="AY15" s="62"/>
      <c r="AZ15" s="62"/>
      <c r="BA15" s="62"/>
      <c r="BB15" s="62"/>
      <c r="BC15" s="62"/>
      <c r="BD15" s="62"/>
      <c r="BE15" s="62"/>
      <c r="BF15" s="62"/>
      <c r="BG15" s="62"/>
      <c r="BH15" s="62"/>
      <c r="BI15" s="62"/>
      <c r="BJ15" s="62"/>
      <c r="BK15" s="62"/>
    </row>
    <row r="16" spans="1:64" x14ac:dyDescent="0.3">
      <c r="A16" s="62"/>
      <c r="B16" s="62"/>
      <c r="C16" s="61" t="s">
        <v>111</v>
      </c>
      <c r="D16" s="60">
        <v>1110.3441</v>
      </c>
      <c r="E16" s="60">
        <v>1003.0626000000002</v>
      </c>
      <c r="F16" s="60">
        <v>1065.8775000000001</v>
      </c>
      <c r="G16" s="60">
        <v>689.57640000000004</v>
      </c>
      <c r="H16" s="60">
        <v>755.56590000000017</v>
      </c>
      <c r="I16" s="60">
        <v>1037.1174000000001</v>
      </c>
      <c r="J16" s="60">
        <v>683.7600000000001</v>
      </c>
      <c r="K16" s="60">
        <v>1002.7518000000001</v>
      </c>
      <c r="L16" s="60">
        <v>875.13510000000019</v>
      </c>
      <c r="M16" s="60">
        <v>0</v>
      </c>
      <c r="N16" s="60">
        <v>0</v>
      </c>
      <c r="O16" s="60">
        <v>0</v>
      </c>
      <c r="P16" s="60">
        <f t="shared" si="0"/>
        <v>8223.1908000000003</v>
      </c>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c r="BC16" s="62"/>
      <c r="BD16" s="62"/>
      <c r="BE16" s="62"/>
      <c r="BF16" s="62"/>
      <c r="BG16" s="62"/>
      <c r="BH16" s="62"/>
      <c r="BI16" s="62"/>
      <c r="BJ16" s="62"/>
      <c r="BK16" s="62"/>
    </row>
    <row r="17" spans="1:63" x14ac:dyDescent="0.3">
      <c r="A17" s="62"/>
      <c r="B17" s="62"/>
      <c r="C17" s="61" t="s">
        <v>4</v>
      </c>
      <c r="D17" s="60">
        <v>298754.07010000001</v>
      </c>
      <c r="E17" s="60">
        <v>255297.84960000005</v>
      </c>
      <c r="F17" s="60">
        <v>333832.90549999994</v>
      </c>
      <c r="G17" s="60">
        <v>234384.64640000003</v>
      </c>
      <c r="H17" s="60">
        <v>325806.6679</v>
      </c>
      <c r="I17" s="60">
        <v>323921.96540000004</v>
      </c>
      <c r="J17" s="60">
        <v>185785.16400000005</v>
      </c>
      <c r="K17" s="60">
        <v>158408.8028</v>
      </c>
      <c r="L17" s="60">
        <v>374825.86710000009</v>
      </c>
      <c r="M17" s="60">
        <v>307984.09200000006</v>
      </c>
      <c r="N17" s="60">
        <v>528830.13099999994</v>
      </c>
      <c r="O17" s="60">
        <v>418137.14900000009</v>
      </c>
      <c r="P17" s="60">
        <f t="shared" si="0"/>
        <v>3745969.3108000006</v>
      </c>
      <c r="Q17" s="62"/>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2"/>
      <c r="AT17" s="62"/>
      <c r="AU17" s="62"/>
      <c r="AV17" s="62"/>
      <c r="AW17" s="62"/>
      <c r="AX17" s="62"/>
      <c r="AY17" s="62"/>
      <c r="AZ17" s="62"/>
      <c r="BA17" s="62"/>
      <c r="BB17" s="62"/>
      <c r="BC17" s="62"/>
      <c r="BD17" s="62"/>
      <c r="BE17" s="62"/>
      <c r="BF17" s="62"/>
      <c r="BG17" s="62"/>
      <c r="BH17" s="62"/>
      <c r="BI17" s="62"/>
      <c r="BJ17" s="62"/>
      <c r="BK17" s="62"/>
    </row>
    <row r="18" spans="1:63" x14ac:dyDescent="0.3">
      <c r="A18" s="62"/>
      <c r="B18" s="62"/>
      <c r="C18" s="62"/>
      <c r="D18" s="62"/>
      <c r="E18" s="62"/>
      <c r="F18" s="62"/>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c r="AL18" s="62"/>
      <c r="AM18" s="62"/>
      <c r="AN18" s="62"/>
      <c r="AO18" s="62"/>
      <c r="AP18" s="62"/>
      <c r="AQ18" s="62"/>
      <c r="AR18" s="62"/>
      <c r="AS18" s="62"/>
      <c r="AT18" s="62"/>
      <c r="AU18" s="62"/>
      <c r="AV18" s="62"/>
      <c r="AW18" s="62"/>
      <c r="AX18" s="62"/>
      <c r="AY18" s="62"/>
      <c r="AZ18" s="62"/>
      <c r="BA18" s="62"/>
      <c r="BB18" s="62"/>
      <c r="BC18" s="62"/>
      <c r="BD18" s="62"/>
      <c r="BE18" s="62"/>
      <c r="BF18" s="62"/>
      <c r="BG18" s="62"/>
      <c r="BH18" s="62"/>
      <c r="BI18" s="62"/>
      <c r="BJ18" s="62"/>
      <c r="BK18" s="62"/>
    </row>
    <row r="19" spans="1:63" x14ac:dyDescent="0.3">
      <c r="A19" s="62"/>
      <c r="B19" s="62"/>
      <c r="C19" s="62"/>
      <c r="D19" s="62"/>
      <c r="E19" s="62"/>
      <c r="F19" s="62"/>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2"/>
      <c r="AT19" s="62"/>
      <c r="AU19" s="62"/>
      <c r="AV19" s="62"/>
      <c r="AW19" s="62"/>
      <c r="AX19" s="62"/>
      <c r="AY19" s="62"/>
      <c r="AZ19" s="62"/>
      <c r="BA19" s="62"/>
      <c r="BB19" s="62"/>
      <c r="BC19" s="62"/>
      <c r="BD19" s="62"/>
      <c r="BE19" s="62"/>
      <c r="BF19" s="62"/>
      <c r="BG19" s="62"/>
      <c r="BH19" s="62"/>
      <c r="BI19" s="62"/>
      <c r="BJ19" s="62"/>
      <c r="BK19" s="62"/>
    </row>
    <row r="20" spans="1:63" x14ac:dyDescent="0.3">
      <c r="A20" s="62"/>
      <c r="B20" s="62"/>
      <c r="C20" s="62"/>
      <c r="D20" s="62"/>
      <c r="E20" s="62"/>
      <c r="F20" s="62"/>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62"/>
      <c r="AG20" s="62"/>
      <c r="AH20" s="62"/>
      <c r="AI20" s="62"/>
      <c r="AJ20" s="62"/>
      <c r="AK20" s="62"/>
      <c r="AL20" s="62"/>
      <c r="AM20" s="62"/>
      <c r="AN20" s="62"/>
      <c r="AO20" s="62"/>
      <c r="AP20" s="62"/>
      <c r="AQ20" s="62"/>
      <c r="AR20" s="62"/>
      <c r="AS20" s="62"/>
      <c r="AT20" s="62"/>
      <c r="AU20" s="62"/>
      <c r="AV20" s="62"/>
      <c r="AW20" s="62"/>
      <c r="AX20" s="62"/>
      <c r="AY20" s="62"/>
      <c r="AZ20" s="62"/>
      <c r="BA20" s="62"/>
      <c r="BB20" s="62"/>
      <c r="BC20" s="62"/>
      <c r="BD20" s="62"/>
      <c r="BE20" s="62"/>
      <c r="BF20" s="62"/>
      <c r="BG20" s="62"/>
      <c r="BH20" s="62"/>
      <c r="BI20" s="62"/>
      <c r="BJ20" s="62"/>
      <c r="BK20" s="62"/>
    </row>
    <row r="21" spans="1:63" x14ac:dyDescent="0.3">
      <c r="A21" s="62"/>
      <c r="B21" s="62"/>
      <c r="C21" s="62"/>
      <c r="D21" s="62"/>
      <c r="E21" s="62"/>
      <c r="F21" s="62"/>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62"/>
      <c r="AG21" s="62"/>
      <c r="AH21" s="62"/>
      <c r="AI21" s="62"/>
      <c r="AJ21" s="62"/>
      <c r="AK21" s="62"/>
      <c r="AL21" s="62"/>
      <c r="AM21" s="62"/>
      <c r="AN21" s="62"/>
      <c r="AO21" s="62"/>
      <c r="AP21" s="62"/>
      <c r="AQ21" s="62"/>
      <c r="AR21" s="62"/>
      <c r="AS21" s="62"/>
      <c r="AT21" s="62"/>
      <c r="AU21" s="62"/>
      <c r="AV21" s="62"/>
      <c r="AW21" s="62"/>
      <c r="AX21" s="62"/>
      <c r="AY21" s="62"/>
      <c r="AZ21" s="62"/>
      <c r="BA21" s="62"/>
      <c r="BB21" s="62"/>
      <c r="BC21" s="62"/>
      <c r="BD21" s="62"/>
      <c r="BE21" s="62"/>
      <c r="BF21" s="62"/>
      <c r="BG21" s="62"/>
      <c r="BH21" s="62"/>
      <c r="BI21" s="62"/>
      <c r="BJ21" s="62"/>
      <c r="BK21" s="62"/>
    </row>
    <row r="22" spans="1:63" x14ac:dyDescent="0.3">
      <c r="A22" s="62"/>
      <c r="B22" s="62"/>
      <c r="C22" s="62"/>
      <c r="D22" s="62"/>
      <c r="E22" s="62"/>
      <c r="F22" s="62"/>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2"/>
      <c r="AK22" s="62"/>
      <c r="AL22" s="62"/>
      <c r="AM22" s="62"/>
      <c r="AN22" s="62"/>
      <c r="AO22" s="62"/>
      <c r="AP22" s="62"/>
      <c r="AQ22" s="62"/>
      <c r="AR22" s="62"/>
      <c r="AS22" s="62"/>
      <c r="AT22" s="62"/>
      <c r="AU22" s="62"/>
      <c r="AV22" s="62"/>
      <c r="AW22" s="62"/>
      <c r="AX22" s="62"/>
      <c r="AY22" s="62"/>
      <c r="AZ22" s="62"/>
      <c r="BA22" s="62"/>
      <c r="BB22" s="62"/>
      <c r="BC22" s="62"/>
      <c r="BD22" s="62"/>
      <c r="BE22" s="62"/>
      <c r="BF22" s="62"/>
      <c r="BG22" s="62"/>
      <c r="BH22" s="62"/>
      <c r="BI22" s="62"/>
      <c r="BJ22" s="62"/>
      <c r="BK22" s="62"/>
    </row>
    <row r="23" spans="1:63" x14ac:dyDescent="0.3">
      <c r="A23" s="62"/>
      <c r="B23" s="62"/>
      <c r="C23" s="62"/>
      <c r="D23" s="62"/>
      <c r="E23" s="62"/>
      <c r="F23" s="62"/>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62"/>
      <c r="AG23" s="62"/>
      <c r="AH23" s="62"/>
      <c r="AI23" s="62"/>
      <c r="AJ23" s="62"/>
      <c r="AK23" s="62"/>
      <c r="AL23" s="62"/>
      <c r="AM23" s="62"/>
      <c r="AN23" s="62"/>
      <c r="AO23" s="62"/>
      <c r="AP23" s="62"/>
      <c r="AQ23" s="62"/>
      <c r="AR23" s="62"/>
      <c r="AS23" s="62"/>
      <c r="AT23" s="62"/>
      <c r="AU23" s="62"/>
      <c r="AV23" s="62"/>
      <c r="AW23" s="62"/>
      <c r="AX23" s="62"/>
      <c r="AY23" s="62"/>
      <c r="AZ23" s="62"/>
      <c r="BA23" s="62"/>
      <c r="BB23" s="62"/>
      <c r="BC23" s="62"/>
      <c r="BD23" s="62"/>
      <c r="BE23" s="62"/>
      <c r="BF23" s="62"/>
      <c r="BG23" s="62"/>
      <c r="BH23" s="62"/>
      <c r="BI23" s="62"/>
      <c r="BJ23" s="62"/>
      <c r="BK23" s="62"/>
    </row>
    <row r="24" spans="1:63" x14ac:dyDescent="0.3">
      <c r="A24" s="62"/>
      <c r="B24" s="62"/>
      <c r="C24" s="62"/>
      <c r="D24" s="62"/>
      <c r="E24" s="62"/>
      <c r="F24" s="62"/>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62"/>
      <c r="AG24" s="62"/>
      <c r="AH24" s="62"/>
      <c r="AI24" s="62"/>
      <c r="AJ24" s="62"/>
      <c r="AK24" s="62"/>
      <c r="AL24" s="62"/>
      <c r="AM24" s="62"/>
      <c r="AN24" s="62"/>
      <c r="AO24" s="62"/>
      <c r="AP24" s="62"/>
      <c r="AQ24" s="62"/>
      <c r="AR24" s="62"/>
      <c r="AS24" s="62"/>
      <c r="AT24" s="62"/>
      <c r="AU24" s="62"/>
      <c r="AV24" s="62"/>
      <c r="AW24" s="62"/>
      <c r="AX24" s="62"/>
      <c r="AY24" s="62"/>
      <c r="AZ24" s="62"/>
      <c r="BA24" s="62"/>
      <c r="BB24" s="62"/>
      <c r="BC24" s="62"/>
      <c r="BD24" s="62"/>
      <c r="BE24" s="62"/>
      <c r="BF24" s="62"/>
      <c r="BG24" s="62"/>
      <c r="BH24" s="62"/>
      <c r="BI24" s="62"/>
      <c r="BJ24" s="62"/>
      <c r="BK24" s="62"/>
    </row>
    <row r="25" spans="1:63" x14ac:dyDescent="0.3">
      <c r="A25" s="62"/>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c r="AN25" s="62"/>
      <c r="AO25" s="62"/>
      <c r="AP25" s="62"/>
      <c r="AQ25" s="62"/>
      <c r="AR25" s="62"/>
      <c r="AS25" s="62"/>
      <c r="AT25" s="62"/>
      <c r="AU25" s="62"/>
      <c r="AV25" s="62"/>
      <c r="AW25" s="62"/>
      <c r="AX25" s="62"/>
      <c r="AY25" s="62"/>
      <c r="AZ25" s="62"/>
      <c r="BA25" s="62"/>
      <c r="BB25" s="62"/>
      <c r="BC25" s="62"/>
      <c r="BD25" s="62"/>
      <c r="BE25" s="62"/>
      <c r="BF25" s="62"/>
      <c r="BG25" s="62"/>
      <c r="BH25" s="62"/>
      <c r="BI25" s="62"/>
      <c r="BJ25" s="62"/>
      <c r="BK25" s="62"/>
    </row>
    <row r="26" spans="1:63" x14ac:dyDescent="0.3">
      <c r="A26" s="62"/>
      <c r="B26" s="62"/>
      <c r="C26" s="62"/>
      <c r="D26" s="62"/>
      <c r="E26" s="62"/>
      <c r="F26" s="62"/>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62"/>
      <c r="AV26" s="62"/>
      <c r="AW26" s="62"/>
      <c r="AX26" s="62"/>
      <c r="AY26" s="62"/>
      <c r="AZ26" s="62"/>
      <c r="BA26" s="62"/>
      <c r="BB26" s="62"/>
      <c r="BC26" s="62"/>
      <c r="BD26" s="62"/>
      <c r="BE26" s="62"/>
      <c r="BF26" s="62"/>
      <c r="BG26" s="62"/>
      <c r="BH26" s="62"/>
      <c r="BI26" s="62"/>
      <c r="BJ26" s="62"/>
      <c r="BK26" s="62"/>
    </row>
    <row r="27" spans="1:63" x14ac:dyDescent="0.3">
      <c r="A27" s="62"/>
      <c r="B27" s="62"/>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62"/>
      <c r="AH27" s="62"/>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2"/>
      <c r="BG27" s="62"/>
      <c r="BH27" s="62"/>
      <c r="BI27" s="62"/>
      <c r="BJ27" s="62"/>
      <c r="BK27" s="62"/>
    </row>
    <row r="28" spans="1:63" x14ac:dyDescent="0.3">
      <c r="A28" s="62"/>
      <c r="B28" s="62"/>
      <c r="C28" s="62"/>
      <c r="D28" s="62"/>
      <c r="E28" s="62"/>
      <c r="F28" s="62"/>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2"/>
      <c r="AK28" s="62"/>
      <c r="AL28" s="62"/>
      <c r="AM28" s="62"/>
      <c r="AN28" s="62"/>
      <c r="AO28" s="62"/>
      <c r="AP28" s="62"/>
      <c r="AQ28" s="62"/>
      <c r="AR28" s="62"/>
      <c r="AS28" s="62"/>
      <c r="AT28" s="62"/>
      <c r="AU28" s="62"/>
      <c r="AV28" s="62"/>
      <c r="AW28" s="62"/>
      <c r="AX28" s="62"/>
      <c r="AY28" s="62"/>
      <c r="AZ28" s="62"/>
      <c r="BA28" s="62"/>
      <c r="BB28" s="62"/>
      <c r="BC28" s="62"/>
      <c r="BD28" s="62"/>
      <c r="BE28" s="62"/>
      <c r="BF28" s="62"/>
      <c r="BG28" s="62"/>
      <c r="BH28" s="62"/>
      <c r="BI28" s="62"/>
      <c r="BJ28" s="62"/>
      <c r="BK28" s="62"/>
    </row>
    <row r="29" spans="1:63" x14ac:dyDescent="0.3">
      <c r="A29" s="62"/>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2"/>
      <c r="AH29" s="62"/>
      <c r="AI29" s="62"/>
      <c r="AJ29" s="62"/>
      <c r="AK29" s="62"/>
      <c r="AL29" s="62"/>
      <c r="AM29" s="62"/>
      <c r="AN29" s="62"/>
      <c r="AO29" s="62"/>
      <c r="AP29" s="62"/>
      <c r="AQ29" s="62"/>
      <c r="AR29" s="62"/>
      <c r="AS29" s="62"/>
      <c r="AT29" s="62"/>
      <c r="AU29" s="62"/>
      <c r="AV29" s="62"/>
      <c r="AW29" s="62"/>
      <c r="AX29" s="62"/>
      <c r="AY29" s="62"/>
      <c r="AZ29" s="62"/>
      <c r="BA29" s="62"/>
      <c r="BB29" s="62"/>
      <c r="BC29" s="62"/>
      <c r="BD29" s="62"/>
      <c r="BE29" s="62"/>
      <c r="BF29" s="62"/>
      <c r="BG29" s="62"/>
      <c r="BH29" s="62"/>
      <c r="BI29" s="62"/>
      <c r="BJ29" s="62"/>
      <c r="BK29" s="62"/>
    </row>
    <row r="30" spans="1:63" x14ac:dyDescent="0.3">
      <c r="A30" s="62"/>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2"/>
      <c r="AH30" s="62"/>
      <c r="AI30" s="62"/>
      <c r="AJ30" s="62"/>
      <c r="AK30" s="62"/>
      <c r="AL30" s="62"/>
      <c r="AM30" s="62"/>
      <c r="AN30" s="62"/>
      <c r="AO30" s="62"/>
      <c r="AP30" s="62"/>
      <c r="AQ30" s="62"/>
      <c r="AR30" s="62"/>
      <c r="AS30" s="62"/>
      <c r="AT30" s="62"/>
      <c r="AU30" s="62"/>
      <c r="AV30" s="62"/>
      <c r="AW30" s="62"/>
      <c r="AX30" s="62"/>
      <c r="AY30" s="62"/>
      <c r="AZ30" s="62"/>
      <c r="BA30" s="62"/>
      <c r="BB30" s="62"/>
      <c r="BC30" s="62"/>
      <c r="BD30" s="62"/>
      <c r="BE30" s="62"/>
      <c r="BF30" s="62"/>
      <c r="BG30" s="62"/>
      <c r="BH30" s="62"/>
      <c r="BI30" s="62"/>
      <c r="BJ30" s="62"/>
      <c r="BK30" s="62"/>
    </row>
    <row r="31" spans="1:63" x14ac:dyDescent="0.3">
      <c r="A31" s="62"/>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2"/>
      <c r="AT31" s="62"/>
      <c r="AU31" s="62"/>
      <c r="AV31" s="62"/>
      <c r="AW31" s="62"/>
      <c r="AX31" s="62"/>
      <c r="AY31" s="62"/>
      <c r="AZ31" s="62"/>
      <c r="BA31" s="62"/>
      <c r="BB31" s="62"/>
      <c r="BC31" s="62"/>
      <c r="BD31" s="62"/>
      <c r="BE31" s="62"/>
      <c r="BF31" s="62"/>
      <c r="BG31" s="62"/>
      <c r="BH31" s="62"/>
      <c r="BI31" s="62"/>
      <c r="BJ31" s="62"/>
      <c r="BK31" s="62"/>
    </row>
    <row r="32" spans="1:63" x14ac:dyDescent="0.3">
      <c r="A32" s="62"/>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2"/>
      <c r="AO32" s="62"/>
      <c r="AP32" s="62"/>
      <c r="AQ32" s="62"/>
      <c r="AR32" s="62"/>
      <c r="AS32" s="62"/>
      <c r="AT32" s="62"/>
      <c r="AU32" s="62"/>
      <c r="AV32" s="62"/>
      <c r="AW32" s="62"/>
      <c r="AX32" s="62"/>
      <c r="AY32" s="62"/>
      <c r="AZ32" s="62"/>
      <c r="BA32" s="62"/>
      <c r="BB32" s="62"/>
      <c r="BC32" s="62"/>
      <c r="BD32" s="62"/>
      <c r="BE32" s="62"/>
      <c r="BF32" s="62"/>
      <c r="BG32" s="62"/>
      <c r="BH32" s="62"/>
      <c r="BI32" s="62"/>
      <c r="BJ32" s="62"/>
      <c r="BK32" s="62"/>
    </row>
    <row r="33" spans="1:63" x14ac:dyDescent="0.3">
      <c r="A33" s="62"/>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2"/>
      <c r="AO33" s="62"/>
      <c r="AP33" s="62"/>
      <c r="AQ33" s="62"/>
      <c r="AR33" s="62"/>
      <c r="AS33" s="62"/>
      <c r="AT33" s="62"/>
      <c r="AU33" s="62"/>
      <c r="AV33" s="62"/>
      <c r="AW33" s="62"/>
      <c r="AX33" s="62"/>
      <c r="AY33" s="62"/>
      <c r="AZ33" s="62"/>
      <c r="BA33" s="62"/>
      <c r="BB33" s="62"/>
      <c r="BC33" s="62"/>
      <c r="BD33" s="62"/>
      <c r="BE33" s="62"/>
      <c r="BF33" s="62"/>
      <c r="BG33" s="62"/>
      <c r="BH33" s="62"/>
      <c r="BI33" s="62"/>
      <c r="BJ33" s="62"/>
      <c r="BK33" s="62"/>
    </row>
    <row r="34" spans="1:63" x14ac:dyDescent="0.3">
      <c r="A34" s="62"/>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2"/>
      <c r="AO34" s="62"/>
      <c r="AP34" s="62"/>
      <c r="AQ34" s="62"/>
      <c r="AR34" s="62"/>
      <c r="AS34" s="62"/>
      <c r="AT34" s="62"/>
      <c r="AU34" s="62"/>
      <c r="AV34" s="62"/>
      <c r="AW34" s="62"/>
      <c r="AX34" s="62"/>
      <c r="AY34" s="62"/>
      <c r="AZ34" s="62"/>
      <c r="BA34" s="62"/>
      <c r="BB34" s="62"/>
      <c r="BC34" s="62"/>
      <c r="BD34" s="62"/>
      <c r="BE34" s="62"/>
      <c r="BF34" s="62"/>
      <c r="BG34" s="62"/>
      <c r="BH34" s="62"/>
      <c r="BI34" s="62"/>
      <c r="BJ34" s="62"/>
      <c r="BK34" s="62"/>
    </row>
    <row r="35" spans="1:63" x14ac:dyDescent="0.3">
      <c r="A35" s="62"/>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2"/>
      <c r="AO35" s="62"/>
      <c r="AP35" s="62"/>
      <c r="AQ35" s="62"/>
      <c r="AR35" s="62"/>
      <c r="AS35" s="62"/>
      <c r="AT35" s="62"/>
      <c r="AU35" s="62"/>
      <c r="AV35" s="62"/>
      <c r="AW35" s="62"/>
      <c r="AX35" s="62"/>
      <c r="AY35" s="62"/>
      <c r="AZ35" s="62"/>
      <c r="BA35" s="62"/>
      <c r="BB35" s="62"/>
      <c r="BC35" s="62"/>
      <c r="BD35" s="62"/>
      <c r="BE35" s="62"/>
      <c r="BF35" s="62"/>
      <c r="BG35" s="62"/>
      <c r="BH35" s="62"/>
      <c r="BI35" s="62"/>
      <c r="BJ35" s="62"/>
      <c r="BK35" s="62"/>
    </row>
    <row r="36" spans="1:63" x14ac:dyDescent="0.3">
      <c r="A36" s="62"/>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62"/>
      <c r="BK36" s="62"/>
    </row>
    <row r="37" spans="1:63" x14ac:dyDescent="0.3">
      <c r="A37" s="62"/>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2"/>
      <c r="AH37" s="62"/>
      <c r="AI37" s="62"/>
      <c r="AJ37" s="62"/>
      <c r="AK37" s="62"/>
      <c r="AL37" s="62"/>
      <c r="AM37" s="62"/>
      <c r="AN37" s="62"/>
      <c r="AO37" s="62"/>
      <c r="AP37" s="62"/>
      <c r="AQ37" s="62"/>
      <c r="AR37" s="62"/>
      <c r="AS37" s="62"/>
      <c r="AT37" s="62"/>
      <c r="AU37" s="62"/>
      <c r="AV37" s="62"/>
      <c r="AW37" s="62"/>
      <c r="AX37" s="62"/>
      <c r="AY37" s="62"/>
      <c r="AZ37" s="62"/>
      <c r="BA37" s="62"/>
      <c r="BB37" s="62"/>
      <c r="BC37" s="62"/>
      <c r="BD37" s="62"/>
      <c r="BE37" s="62"/>
      <c r="BF37" s="62"/>
      <c r="BG37" s="62"/>
      <c r="BH37" s="62"/>
      <c r="BI37" s="62"/>
      <c r="BJ37" s="62"/>
      <c r="BK37" s="62"/>
    </row>
    <row r="38" spans="1:63" x14ac:dyDescent="0.3">
      <c r="A38" s="62"/>
      <c r="B38" s="62"/>
      <c r="C38" s="62"/>
      <c r="D38" s="62"/>
      <c r="E38" s="62"/>
      <c r="F38" s="62"/>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2"/>
      <c r="AK38" s="62"/>
      <c r="AL38" s="62"/>
      <c r="AM38" s="62"/>
      <c r="AN38" s="62"/>
      <c r="AO38" s="62"/>
      <c r="AP38" s="62"/>
      <c r="AQ38" s="62"/>
      <c r="AR38" s="62"/>
      <c r="AS38" s="62"/>
      <c r="AT38" s="62"/>
      <c r="AU38" s="62"/>
      <c r="AV38" s="62"/>
      <c r="AW38" s="62"/>
      <c r="AX38" s="62"/>
      <c r="AY38" s="62"/>
      <c r="AZ38" s="62"/>
      <c r="BA38" s="62"/>
      <c r="BB38" s="62"/>
      <c r="BC38" s="62"/>
      <c r="BD38" s="62"/>
      <c r="BE38" s="62"/>
      <c r="BF38" s="62"/>
      <c r="BG38" s="62"/>
      <c r="BH38" s="62"/>
      <c r="BI38" s="62"/>
      <c r="BJ38" s="62"/>
      <c r="BK38" s="62"/>
    </row>
    <row r="39" spans="1:63" x14ac:dyDescent="0.3">
      <c r="A39" s="62"/>
      <c r="B39" s="62"/>
      <c r="C39" s="62"/>
      <c r="D39" s="62"/>
      <c r="E39" s="62"/>
      <c r="F39" s="62"/>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62"/>
      <c r="AG39" s="62"/>
      <c r="AH39" s="62"/>
      <c r="AI39" s="62"/>
      <c r="AJ39" s="62"/>
      <c r="AK39" s="62"/>
      <c r="AL39" s="62"/>
      <c r="AM39" s="62"/>
      <c r="AN39" s="62"/>
      <c r="AO39" s="62"/>
      <c r="AP39" s="62"/>
      <c r="AQ39" s="62"/>
      <c r="AR39" s="62"/>
      <c r="AS39" s="62"/>
      <c r="AT39" s="62"/>
      <c r="AU39" s="62"/>
      <c r="AV39" s="62"/>
      <c r="AW39" s="62"/>
      <c r="AX39" s="62"/>
      <c r="AY39" s="62"/>
      <c r="AZ39" s="62"/>
      <c r="BA39" s="62"/>
      <c r="BB39" s="62"/>
      <c r="BC39" s="62"/>
      <c r="BD39" s="62"/>
      <c r="BE39" s="62"/>
      <c r="BF39" s="62"/>
      <c r="BG39" s="62"/>
      <c r="BH39" s="62"/>
      <c r="BI39" s="62"/>
      <c r="BJ39" s="62"/>
      <c r="BK39" s="62"/>
    </row>
    <row r="40" spans="1:63" x14ac:dyDescent="0.3">
      <c r="A40" s="62"/>
      <c r="B40" s="62"/>
      <c r="C40" s="62"/>
      <c r="D40" s="62"/>
      <c r="E40" s="62"/>
      <c r="F40" s="62"/>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2"/>
      <c r="AT40" s="62"/>
      <c r="AU40" s="62"/>
      <c r="AV40" s="62"/>
      <c r="AW40" s="62"/>
      <c r="AX40" s="62"/>
      <c r="AY40" s="62"/>
      <c r="AZ40" s="62"/>
      <c r="BA40" s="62"/>
      <c r="BB40" s="62"/>
      <c r="BC40" s="62"/>
      <c r="BD40" s="62"/>
      <c r="BE40" s="62"/>
      <c r="BF40" s="62"/>
      <c r="BG40" s="62"/>
      <c r="BH40" s="62"/>
      <c r="BI40" s="62"/>
      <c r="BJ40" s="62"/>
      <c r="BK40" s="62"/>
    </row>
    <row r="41" spans="1:63" x14ac:dyDescent="0.3">
      <c r="A41" s="62"/>
      <c r="B41" s="62"/>
      <c r="C41" s="62"/>
      <c r="D41" s="62"/>
      <c r="E41" s="62"/>
      <c r="F41" s="62"/>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2"/>
      <c r="AN41" s="62"/>
      <c r="AO41" s="62"/>
      <c r="AP41" s="62"/>
      <c r="AQ41" s="62"/>
      <c r="AR41" s="62"/>
      <c r="AS41" s="62"/>
      <c r="AT41" s="62"/>
      <c r="AU41" s="62"/>
      <c r="AV41" s="62"/>
      <c r="AW41" s="62"/>
      <c r="AX41" s="62"/>
      <c r="AY41" s="62"/>
      <c r="AZ41" s="62"/>
      <c r="BA41" s="62"/>
      <c r="BB41" s="62"/>
      <c r="BC41" s="62"/>
      <c r="BD41" s="62"/>
      <c r="BE41" s="62"/>
      <c r="BF41" s="62"/>
      <c r="BG41" s="62"/>
      <c r="BH41" s="62"/>
      <c r="BI41" s="62"/>
      <c r="BJ41" s="62"/>
      <c r="BK41" s="62"/>
    </row>
    <row r="42" spans="1:63" x14ac:dyDescent="0.3">
      <c r="A42" s="62"/>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2"/>
      <c r="AS42" s="62"/>
      <c r="AT42" s="62"/>
      <c r="AU42" s="62"/>
      <c r="AV42" s="62"/>
      <c r="AW42" s="62"/>
      <c r="AX42" s="62"/>
      <c r="AY42" s="62"/>
      <c r="AZ42" s="62"/>
      <c r="BA42" s="62"/>
      <c r="BB42" s="62"/>
      <c r="BC42" s="62"/>
      <c r="BD42" s="62"/>
      <c r="BE42" s="62"/>
      <c r="BF42" s="62"/>
      <c r="BG42" s="62"/>
      <c r="BH42" s="62"/>
      <c r="BI42" s="62"/>
      <c r="BJ42" s="62"/>
      <c r="BK42" s="62"/>
    </row>
    <row r="43" spans="1:63" x14ac:dyDescent="0.3">
      <c r="A43" s="62"/>
      <c r="B43" s="62"/>
      <c r="C43" s="62"/>
      <c r="D43" s="62"/>
      <c r="E43" s="62"/>
      <c r="F43" s="62"/>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62"/>
      <c r="AG43" s="62"/>
      <c r="AH43" s="62"/>
      <c r="AI43" s="62"/>
      <c r="AJ43" s="62"/>
      <c r="AK43" s="62"/>
      <c r="AL43" s="62"/>
      <c r="AM43" s="62"/>
      <c r="AN43" s="62"/>
      <c r="AO43" s="62"/>
      <c r="AP43" s="62"/>
      <c r="AQ43" s="62"/>
      <c r="AR43" s="62"/>
      <c r="AS43" s="62"/>
      <c r="AT43" s="62"/>
      <c r="AU43" s="62"/>
      <c r="AV43" s="62"/>
      <c r="AW43" s="62"/>
      <c r="AX43" s="62"/>
      <c r="AY43" s="62"/>
      <c r="AZ43" s="62"/>
      <c r="BA43" s="62"/>
      <c r="BB43" s="62"/>
      <c r="BC43" s="62"/>
      <c r="BD43" s="62"/>
      <c r="BE43" s="62"/>
      <c r="BF43" s="62"/>
      <c r="BG43" s="62"/>
      <c r="BH43" s="62"/>
      <c r="BI43" s="62"/>
      <c r="BJ43" s="62"/>
      <c r="BK43" s="62"/>
    </row>
    <row r="44" spans="1:63" x14ac:dyDescent="0.3">
      <c r="A44" s="62"/>
      <c r="B44" s="62"/>
      <c r="C44" s="62"/>
      <c r="D44" s="62"/>
      <c r="E44" s="62"/>
      <c r="F44" s="62"/>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62"/>
      <c r="AG44" s="62"/>
      <c r="AH44" s="62"/>
      <c r="AI44" s="62"/>
      <c r="AJ44" s="62"/>
      <c r="AK44" s="62"/>
      <c r="AL44" s="62"/>
      <c r="AM44" s="62"/>
      <c r="AN44" s="62"/>
      <c r="AO44" s="62"/>
      <c r="AP44" s="62"/>
      <c r="AQ44" s="62"/>
      <c r="AR44" s="62"/>
      <c r="AS44" s="62"/>
      <c r="AT44" s="62"/>
      <c r="AU44" s="62"/>
      <c r="AV44" s="62"/>
      <c r="AW44" s="62"/>
      <c r="AX44" s="62"/>
      <c r="AY44" s="62"/>
      <c r="AZ44" s="62"/>
      <c r="BA44" s="62"/>
      <c r="BB44" s="62"/>
      <c r="BC44" s="62"/>
      <c r="BD44" s="62"/>
      <c r="BE44" s="62"/>
      <c r="BF44" s="62"/>
      <c r="BG44" s="62"/>
      <c r="BH44" s="62"/>
      <c r="BI44" s="62"/>
      <c r="BJ44" s="62"/>
      <c r="BK44" s="62"/>
    </row>
    <row r="45" spans="1:63" x14ac:dyDescent="0.3">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row>
    <row r="46" spans="1:63" x14ac:dyDescent="0.3">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62"/>
      <c r="AG46" s="62"/>
      <c r="AH46" s="62"/>
      <c r="AI46" s="62"/>
      <c r="AJ46" s="62"/>
      <c r="AK46" s="62"/>
      <c r="AL46" s="62"/>
      <c r="AM46" s="62"/>
      <c r="AN46" s="62"/>
      <c r="AO46" s="62"/>
      <c r="AP46" s="62"/>
      <c r="AQ46" s="62"/>
      <c r="AR46" s="62"/>
      <c r="AS46" s="62"/>
      <c r="AT46" s="62"/>
      <c r="AU46" s="62"/>
      <c r="AV46" s="62"/>
      <c r="AW46" s="62"/>
      <c r="AX46" s="62"/>
      <c r="AY46" s="62"/>
      <c r="AZ46" s="62"/>
      <c r="BA46" s="62"/>
      <c r="BB46" s="62"/>
      <c r="BC46" s="62"/>
      <c r="BD46" s="62"/>
      <c r="BE46" s="62"/>
      <c r="BF46" s="62"/>
      <c r="BG46" s="62"/>
      <c r="BH46" s="62"/>
      <c r="BI46" s="62"/>
      <c r="BJ46" s="62"/>
      <c r="BK46" s="62"/>
    </row>
    <row r="47" spans="1:63" x14ac:dyDescent="0.3">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62"/>
      <c r="BF47" s="62"/>
      <c r="BG47" s="62"/>
      <c r="BH47" s="62"/>
      <c r="BI47" s="62"/>
      <c r="BJ47" s="62"/>
      <c r="BK47" s="62"/>
    </row>
    <row r="48" spans="1:63" x14ac:dyDescent="0.3">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62"/>
      <c r="AG48" s="62"/>
      <c r="AH48" s="62"/>
      <c r="AI48" s="62"/>
      <c r="AJ48" s="62"/>
      <c r="AK48" s="62"/>
      <c r="AL48" s="62"/>
      <c r="AM48" s="62"/>
      <c r="AN48" s="62"/>
      <c r="AO48" s="62"/>
      <c r="AP48" s="62"/>
      <c r="AQ48" s="62"/>
      <c r="AR48" s="62"/>
      <c r="AS48" s="62"/>
      <c r="AT48" s="62"/>
      <c r="AU48" s="62"/>
      <c r="AV48" s="62"/>
      <c r="AW48" s="62"/>
      <c r="AX48" s="62"/>
      <c r="AY48" s="62"/>
      <c r="AZ48" s="62"/>
      <c r="BA48" s="62"/>
      <c r="BB48" s="62"/>
      <c r="BC48" s="62"/>
      <c r="BD48" s="62"/>
      <c r="BE48" s="62"/>
      <c r="BF48" s="62"/>
      <c r="BG48" s="62"/>
      <c r="BH48" s="62"/>
      <c r="BI48" s="62"/>
      <c r="BJ48" s="62"/>
      <c r="BK48" s="62"/>
    </row>
    <row r="49" spans="1:63" x14ac:dyDescent="0.3">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row>
    <row r="50" spans="1:63" x14ac:dyDescent="0.3">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62"/>
      <c r="AG50" s="62"/>
      <c r="AH50" s="62"/>
      <c r="AI50" s="62"/>
      <c r="AJ50" s="62"/>
      <c r="AK50" s="62"/>
      <c r="AL50" s="62"/>
      <c r="AM50" s="62"/>
      <c r="AN50" s="62"/>
      <c r="AO50" s="62"/>
      <c r="AP50" s="62"/>
      <c r="AQ50" s="62"/>
      <c r="AR50" s="62"/>
      <c r="AS50" s="62"/>
      <c r="AT50" s="62"/>
      <c r="AU50" s="62"/>
      <c r="AV50" s="62"/>
      <c r="AW50" s="62"/>
      <c r="AX50" s="62"/>
      <c r="AY50" s="62"/>
      <c r="AZ50" s="62"/>
      <c r="BA50" s="62"/>
      <c r="BB50" s="62"/>
      <c r="BC50" s="62"/>
      <c r="BD50" s="62"/>
      <c r="BE50" s="62"/>
      <c r="BF50" s="62"/>
      <c r="BG50" s="62"/>
      <c r="BH50" s="62"/>
      <c r="BI50" s="62"/>
      <c r="BJ50" s="62"/>
      <c r="BK50" s="62"/>
    </row>
    <row r="51" spans="1:63" x14ac:dyDescent="0.3">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62"/>
      <c r="AG51" s="62"/>
      <c r="AH51" s="62"/>
      <c r="AI51" s="62"/>
      <c r="AJ51" s="62"/>
      <c r="AK51" s="62"/>
      <c r="AL51" s="62"/>
      <c r="AM51" s="62"/>
      <c r="AN51" s="62"/>
      <c r="AO51" s="62"/>
      <c r="AP51" s="62"/>
      <c r="AQ51" s="62"/>
      <c r="AR51" s="62"/>
      <c r="AS51" s="62"/>
      <c r="AT51" s="62"/>
      <c r="AU51" s="62"/>
      <c r="AV51" s="62"/>
      <c r="AW51" s="62"/>
      <c r="AX51" s="62"/>
      <c r="AY51" s="62"/>
      <c r="AZ51" s="62"/>
      <c r="BA51" s="62"/>
      <c r="BB51" s="62"/>
      <c r="BC51" s="62"/>
      <c r="BD51" s="62"/>
      <c r="BE51" s="62"/>
      <c r="BF51" s="62"/>
      <c r="BG51" s="62"/>
      <c r="BH51" s="62"/>
      <c r="BI51" s="62"/>
      <c r="BJ51" s="62"/>
      <c r="BK51" s="62"/>
    </row>
    <row r="52" spans="1:63" x14ac:dyDescent="0.3">
      <c r="A52" s="62"/>
      <c r="B52" s="62"/>
      <c r="C52" s="62"/>
      <c r="D52" s="62"/>
      <c r="E52" s="62"/>
      <c r="F52" s="62"/>
      <c r="G52" s="62"/>
      <c r="H52" s="62"/>
      <c r="I52" s="62"/>
      <c r="J52" s="62"/>
      <c r="AE52" s="62"/>
      <c r="AF52" s="62"/>
      <c r="AG52" s="62"/>
      <c r="AH52" s="62"/>
      <c r="AI52" s="62"/>
      <c r="AJ52" s="62"/>
      <c r="AK52" s="62"/>
      <c r="AL52" s="62"/>
      <c r="AM52" s="62"/>
      <c r="AN52" s="62"/>
      <c r="AO52" s="62"/>
      <c r="AP52" s="62"/>
      <c r="AQ52" s="62"/>
      <c r="AR52" s="62"/>
      <c r="AS52" s="62"/>
      <c r="AT52" s="62"/>
      <c r="AU52" s="62"/>
      <c r="AV52" s="62"/>
      <c r="AW52" s="62"/>
      <c r="AX52" s="62"/>
      <c r="AY52" s="62"/>
      <c r="AZ52" s="62"/>
      <c r="BA52" s="62"/>
      <c r="BB52" s="62"/>
      <c r="BC52" s="62"/>
      <c r="BD52" s="62"/>
      <c r="BE52" s="62"/>
      <c r="BF52" s="62"/>
      <c r="BG52" s="62"/>
      <c r="BH52" s="62"/>
      <c r="BI52" s="62"/>
      <c r="BJ52" s="62"/>
      <c r="BK52" s="62"/>
    </row>
    <row r="53" spans="1:63" x14ac:dyDescent="0.3">
      <c r="A53" s="62"/>
      <c r="B53" s="62"/>
      <c r="C53" s="62"/>
      <c r="D53" s="62"/>
      <c r="E53" s="62"/>
      <c r="F53" s="62"/>
      <c r="G53" s="62"/>
      <c r="H53" s="62"/>
      <c r="I53" s="62"/>
      <c r="J53" s="62"/>
      <c r="AE53" s="62"/>
      <c r="AF53" s="62"/>
      <c r="AG53" s="62"/>
      <c r="AH53" s="62"/>
      <c r="AI53" s="62"/>
      <c r="AJ53" s="62"/>
      <c r="AK53" s="62"/>
      <c r="AL53" s="62"/>
      <c r="AM53" s="62"/>
      <c r="AN53" s="62"/>
      <c r="AO53" s="62"/>
      <c r="AP53" s="62"/>
      <c r="AQ53" s="62"/>
      <c r="AR53" s="62"/>
      <c r="AS53" s="62"/>
      <c r="AT53" s="62"/>
      <c r="AU53" s="62"/>
      <c r="AV53" s="62"/>
      <c r="AW53" s="62"/>
      <c r="AX53" s="62"/>
      <c r="AY53" s="62"/>
      <c r="AZ53" s="62"/>
      <c r="BA53" s="62"/>
      <c r="BB53" s="62"/>
      <c r="BC53" s="62"/>
      <c r="BD53" s="62"/>
      <c r="BE53" s="62"/>
      <c r="BF53" s="62"/>
      <c r="BG53" s="62"/>
      <c r="BH53" s="62"/>
      <c r="BI53" s="62"/>
      <c r="BJ53" s="62"/>
      <c r="BK53" s="62"/>
    </row>
    <row r="54" spans="1:63" x14ac:dyDescent="0.3">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62"/>
      <c r="AG54" s="62"/>
      <c r="AH54" s="62"/>
      <c r="AI54" s="62"/>
      <c r="AJ54" s="62"/>
      <c r="AK54" s="62"/>
      <c r="AL54" s="62"/>
      <c r="AM54" s="62"/>
      <c r="AN54" s="62"/>
      <c r="AO54" s="62"/>
      <c r="AP54" s="62"/>
      <c r="AQ54" s="62"/>
      <c r="AR54" s="62"/>
      <c r="AS54" s="62"/>
      <c r="AT54" s="62"/>
      <c r="AU54" s="62"/>
      <c r="AV54" s="62"/>
      <c r="AW54" s="62"/>
      <c r="AX54" s="62"/>
      <c r="AY54" s="62"/>
      <c r="AZ54" s="62"/>
      <c r="BA54" s="62"/>
      <c r="BB54" s="62"/>
      <c r="BC54" s="62"/>
      <c r="BD54" s="62"/>
      <c r="BE54" s="62"/>
      <c r="BF54" s="62"/>
      <c r="BG54" s="62"/>
      <c r="BH54" s="62"/>
      <c r="BI54" s="62"/>
      <c r="BJ54" s="62"/>
      <c r="BK54" s="62"/>
    </row>
    <row r="55" spans="1:63" x14ac:dyDescent="0.3">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62"/>
      <c r="AG55" s="62"/>
      <c r="AH55" s="62"/>
      <c r="AI55" s="62"/>
      <c r="AJ55" s="62"/>
      <c r="AK55" s="62"/>
      <c r="AL55" s="62"/>
      <c r="AM55" s="62"/>
      <c r="AN55" s="62"/>
      <c r="AO55" s="62"/>
      <c r="AP55" s="62"/>
      <c r="AQ55" s="62"/>
      <c r="AR55" s="62"/>
      <c r="AS55" s="62"/>
      <c r="AT55" s="62"/>
      <c r="AU55" s="62"/>
      <c r="AV55" s="62"/>
      <c r="AW55" s="62"/>
      <c r="AX55" s="62"/>
      <c r="AY55" s="62"/>
      <c r="AZ55" s="62"/>
      <c r="BA55" s="62"/>
      <c r="BB55" s="62"/>
      <c r="BC55" s="62"/>
      <c r="BD55" s="62"/>
      <c r="BE55" s="62"/>
      <c r="BF55" s="62"/>
      <c r="BG55" s="62"/>
      <c r="BH55" s="62"/>
      <c r="BI55" s="62"/>
      <c r="BJ55" s="62"/>
      <c r="BK55" s="62"/>
    </row>
    <row r="56" spans="1:63" x14ac:dyDescent="0.3">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62"/>
      <c r="AG56" s="62"/>
      <c r="AH56" s="62"/>
      <c r="AI56" s="62"/>
      <c r="AJ56" s="62"/>
      <c r="AK56" s="62"/>
      <c r="AL56" s="62"/>
      <c r="AM56" s="62"/>
      <c r="AN56" s="62"/>
      <c r="AO56" s="62"/>
      <c r="AP56" s="62"/>
      <c r="AQ56" s="62"/>
      <c r="AR56" s="62"/>
      <c r="AS56" s="62"/>
      <c r="AT56" s="62"/>
      <c r="AU56" s="62"/>
      <c r="AV56" s="62"/>
      <c r="AW56" s="62"/>
      <c r="AX56" s="62"/>
      <c r="AY56" s="62"/>
      <c r="AZ56" s="62"/>
      <c r="BA56" s="62"/>
      <c r="BB56" s="62"/>
      <c r="BC56" s="62"/>
      <c r="BD56" s="62"/>
      <c r="BE56" s="62"/>
      <c r="BF56" s="62"/>
      <c r="BG56" s="62"/>
      <c r="BH56" s="62"/>
      <c r="BI56" s="62"/>
      <c r="BJ56" s="62"/>
      <c r="BK56" s="62"/>
    </row>
    <row r="57" spans="1:63" x14ac:dyDescent="0.3">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62"/>
      <c r="AG57" s="62"/>
      <c r="AH57" s="62"/>
      <c r="AI57" s="62"/>
      <c r="AJ57" s="62"/>
      <c r="AK57" s="62"/>
      <c r="AL57" s="62"/>
      <c r="AM57" s="62"/>
      <c r="AN57" s="62"/>
      <c r="AO57" s="62"/>
      <c r="AP57" s="62"/>
      <c r="AQ57" s="62"/>
      <c r="AR57" s="62"/>
      <c r="AS57" s="62"/>
      <c r="AT57" s="62"/>
      <c r="AU57" s="62"/>
      <c r="AV57" s="62"/>
      <c r="AW57" s="62"/>
      <c r="AX57" s="62"/>
      <c r="AY57" s="62"/>
      <c r="AZ57" s="62"/>
      <c r="BA57" s="62"/>
      <c r="BB57" s="62"/>
      <c r="BC57" s="62"/>
      <c r="BD57" s="62"/>
      <c r="BE57" s="62"/>
      <c r="BF57" s="62"/>
      <c r="BG57" s="62"/>
      <c r="BH57" s="62"/>
      <c r="BI57" s="62"/>
      <c r="BJ57" s="62"/>
      <c r="BK57" s="62"/>
    </row>
    <row r="58" spans="1:63" x14ac:dyDescent="0.3">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c r="AO58" s="62"/>
      <c r="AP58" s="62"/>
      <c r="AQ58" s="62"/>
      <c r="AR58" s="62"/>
      <c r="AS58" s="62"/>
      <c r="AT58" s="62"/>
      <c r="AU58" s="62"/>
      <c r="AV58" s="62"/>
      <c r="AW58" s="62"/>
      <c r="AX58" s="62"/>
      <c r="AY58" s="62"/>
      <c r="AZ58" s="62"/>
      <c r="BA58" s="62"/>
      <c r="BB58" s="62"/>
      <c r="BC58" s="62"/>
      <c r="BD58" s="62"/>
      <c r="BE58" s="62"/>
      <c r="BF58" s="62"/>
      <c r="BG58" s="62"/>
      <c r="BH58" s="62"/>
      <c r="BI58" s="62"/>
      <c r="BJ58" s="62"/>
      <c r="BK58" s="62"/>
    </row>
    <row r="59" spans="1:63" x14ac:dyDescent="0.3">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2"/>
      <c r="AT59" s="62"/>
      <c r="AU59" s="62"/>
      <c r="AV59" s="62"/>
      <c r="AW59" s="62"/>
      <c r="AX59" s="62"/>
      <c r="AY59" s="62"/>
      <c r="AZ59" s="62"/>
      <c r="BA59" s="62"/>
      <c r="BB59" s="62"/>
      <c r="BC59" s="62"/>
      <c r="BD59" s="62"/>
      <c r="BE59" s="62"/>
      <c r="BF59" s="62"/>
      <c r="BG59" s="62"/>
      <c r="BH59" s="62"/>
      <c r="BI59" s="62"/>
      <c r="BJ59" s="62"/>
      <c r="BK59" s="62"/>
    </row>
    <row r="60" spans="1:63" x14ac:dyDescent="0.3">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2"/>
      <c r="AT60" s="62"/>
      <c r="AU60" s="62"/>
      <c r="AV60" s="62"/>
      <c r="AW60" s="62"/>
      <c r="AX60" s="62"/>
      <c r="AY60" s="62"/>
      <c r="AZ60" s="62"/>
      <c r="BA60" s="62"/>
      <c r="BB60" s="62"/>
      <c r="BC60" s="62"/>
      <c r="BD60" s="62"/>
      <c r="BE60" s="62"/>
      <c r="BF60" s="62"/>
      <c r="BG60" s="62"/>
      <c r="BH60" s="62"/>
      <c r="BI60" s="62"/>
      <c r="BJ60" s="62"/>
      <c r="BK60" s="62"/>
    </row>
    <row r="61" spans="1:63" x14ac:dyDescent="0.3">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2"/>
      <c r="AT61" s="62"/>
      <c r="AU61" s="62"/>
      <c r="AV61" s="62"/>
      <c r="AW61" s="62"/>
      <c r="AX61" s="62"/>
      <c r="AY61" s="62"/>
      <c r="AZ61" s="62"/>
      <c r="BA61" s="62"/>
      <c r="BB61" s="62"/>
      <c r="BC61" s="62"/>
      <c r="BD61" s="62"/>
      <c r="BE61" s="62"/>
      <c r="BF61" s="62"/>
      <c r="BG61" s="62"/>
      <c r="BH61" s="62"/>
      <c r="BI61" s="62"/>
      <c r="BJ61" s="62"/>
      <c r="BK61" s="62"/>
    </row>
    <row r="62" spans="1:63" x14ac:dyDescent="0.3">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2"/>
      <c r="AT62" s="62"/>
      <c r="AU62" s="62"/>
      <c r="AV62" s="62"/>
      <c r="AW62" s="62"/>
      <c r="AX62" s="62"/>
      <c r="AY62" s="62"/>
      <c r="AZ62" s="62"/>
      <c r="BA62" s="62"/>
      <c r="BB62" s="62"/>
      <c r="BC62" s="62"/>
      <c r="BD62" s="62"/>
      <c r="BE62" s="62"/>
      <c r="BF62" s="62"/>
      <c r="BG62" s="62"/>
      <c r="BH62" s="62"/>
      <c r="BI62" s="62"/>
      <c r="BJ62" s="62"/>
      <c r="BK62" s="62"/>
    </row>
    <row r="63" spans="1:63" x14ac:dyDescent="0.3">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2"/>
      <c r="BG63" s="62"/>
      <c r="BH63" s="62"/>
      <c r="BI63" s="62"/>
      <c r="BJ63" s="62"/>
      <c r="BK63" s="62"/>
    </row>
    <row r="64" spans="1:63" x14ac:dyDescent="0.3">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2"/>
      <c r="BG64" s="62"/>
      <c r="BH64" s="62"/>
      <c r="BI64" s="62"/>
      <c r="BJ64" s="62"/>
      <c r="BK64" s="62"/>
    </row>
    <row r="65" spans="1:63" x14ac:dyDescent="0.3">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c r="AA65" s="62"/>
      <c r="AB65" s="62"/>
      <c r="AC65" s="62"/>
      <c r="AD65" s="62"/>
      <c r="AE65" s="62"/>
      <c r="AF65" s="62"/>
      <c r="AG65" s="62"/>
      <c r="AH65" s="62"/>
      <c r="AI65" s="62"/>
      <c r="AJ65" s="62"/>
      <c r="AK65" s="62"/>
      <c r="AL65" s="62"/>
      <c r="AM65" s="62"/>
      <c r="AN65" s="62"/>
      <c r="AO65" s="62"/>
      <c r="AP65" s="62"/>
      <c r="AQ65" s="62"/>
      <c r="AR65" s="62"/>
      <c r="AS65" s="62"/>
      <c r="AT65" s="62"/>
      <c r="AU65" s="62"/>
      <c r="AV65" s="62"/>
      <c r="AW65" s="62"/>
      <c r="AX65" s="62"/>
      <c r="AY65" s="62"/>
      <c r="AZ65" s="62"/>
      <c r="BA65" s="62"/>
      <c r="BB65" s="62"/>
      <c r="BC65" s="62"/>
      <c r="BD65" s="62"/>
      <c r="BE65" s="62"/>
      <c r="BF65" s="62"/>
      <c r="BG65" s="62"/>
      <c r="BH65" s="62"/>
      <c r="BI65" s="62"/>
      <c r="BJ65" s="62"/>
      <c r="BK65" s="62"/>
    </row>
    <row r="66" spans="1:63" x14ac:dyDescent="0.3">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c r="AA66" s="62"/>
      <c r="AB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62"/>
      <c r="BF66" s="62"/>
      <c r="BG66" s="62"/>
      <c r="BH66" s="62"/>
      <c r="BI66" s="62"/>
      <c r="BJ66" s="62"/>
      <c r="BK66" s="62"/>
    </row>
    <row r="67" spans="1:63" x14ac:dyDescent="0.3">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c r="AA67" s="62"/>
      <c r="AB67" s="62"/>
      <c r="AC67" s="62"/>
      <c r="AD67" s="62"/>
      <c r="AE67" s="62"/>
      <c r="AF67" s="62"/>
      <c r="AG67" s="62"/>
      <c r="AH67" s="62"/>
      <c r="AI67" s="62"/>
      <c r="AJ67" s="62"/>
      <c r="AK67" s="62"/>
      <c r="AL67" s="62"/>
      <c r="AM67" s="62"/>
      <c r="AN67" s="62"/>
      <c r="AO67" s="62"/>
      <c r="AP67" s="62"/>
      <c r="AQ67" s="62"/>
      <c r="AR67" s="62"/>
      <c r="AS67" s="62"/>
      <c r="AT67" s="62"/>
      <c r="AU67" s="62"/>
      <c r="AV67" s="62"/>
      <c r="AW67" s="62"/>
      <c r="AX67" s="62"/>
      <c r="AY67" s="62"/>
      <c r="AZ67" s="62"/>
      <c r="BA67" s="62"/>
      <c r="BB67" s="62"/>
      <c r="BC67" s="62"/>
      <c r="BD67" s="62"/>
      <c r="BE67" s="62"/>
      <c r="BF67" s="62"/>
      <c r="BG67" s="62"/>
      <c r="BH67" s="62"/>
      <c r="BI67" s="62"/>
      <c r="BJ67" s="62"/>
      <c r="BK67" s="62"/>
    </row>
    <row r="68" spans="1:63" x14ac:dyDescent="0.3">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c r="AA68" s="62"/>
      <c r="AB68" s="62"/>
      <c r="AC68" s="62"/>
      <c r="AD68" s="62"/>
      <c r="AE68" s="62"/>
      <c r="AF68" s="62"/>
      <c r="AG68" s="62"/>
      <c r="AH68" s="62"/>
      <c r="AI68" s="62"/>
      <c r="AJ68" s="62"/>
      <c r="AK68" s="62"/>
      <c r="AL68" s="62"/>
      <c r="AM68" s="62"/>
      <c r="AN68" s="62"/>
      <c r="AO68" s="62"/>
      <c r="AP68" s="62"/>
      <c r="AQ68" s="62"/>
      <c r="AR68" s="62"/>
      <c r="AS68" s="62"/>
      <c r="AT68" s="62"/>
      <c r="AU68" s="62"/>
      <c r="AV68" s="62"/>
      <c r="AW68" s="62"/>
      <c r="AX68" s="62"/>
      <c r="AY68" s="62"/>
      <c r="AZ68" s="62"/>
      <c r="BA68" s="62"/>
      <c r="BB68" s="62"/>
      <c r="BC68" s="62"/>
      <c r="BD68" s="62"/>
      <c r="BE68" s="62"/>
      <c r="BF68" s="62"/>
      <c r="BG68" s="62"/>
      <c r="BH68" s="62"/>
      <c r="BI68" s="62"/>
      <c r="BJ68" s="62"/>
      <c r="BK68" s="62"/>
    </row>
    <row r="69" spans="1:63" x14ac:dyDescent="0.3">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62"/>
      <c r="AG69" s="62"/>
      <c r="AH69" s="62"/>
      <c r="AI69" s="62"/>
      <c r="AJ69" s="62"/>
      <c r="AK69" s="62"/>
      <c r="AL69" s="62"/>
      <c r="AM69" s="62"/>
      <c r="AN69" s="62"/>
      <c r="AO69" s="62"/>
      <c r="AP69" s="62"/>
      <c r="AQ69" s="62"/>
      <c r="AR69" s="62"/>
      <c r="AS69" s="62"/>
      <c r="AT69" s="62"/>
      <c r="AU69" s="62"/>
      <c r="AV69" s="62"/>
      <c r="AW69" s="62"/>
      <c r="AX69" s="62"/>
      <c r="AY69" s="62"/>
      <c r="AZ69" s="62"/>
      <c r="BA69" s="62"/>
      <c r="BB69" s="62"/>
      <c r="BC69" s="62"/>
      <c r="BD69" s="62"/>
      <c r="BE69" s="62"/>
      <c r="BF69" s="62"/>
      <c r="BG69" s="62"/>
      <c r="BH69" s="62"/>
      <c r="BI69" s="62"/>
      <c r="BJ69" s="62"/>
      <c r="BK69" s="62"/>
    </row>
    <row r="70" spans="1:63" x14ac:dyDescent="0.3">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62"/>
      <c r="AG70" s="62"/>
      <c r="AH70" s="62"/>
      <c r="AI70" s="62"/>
      <c r="AJ70" s="62"/>
      <c r="AK70" s="62"/>
      <c r="AL70" s="62"/>
      <c r="AM70" s="62"/>
      <c r="AN70" s="62"/>
      <c r="AO70" s="62"/>
      <c r="AP70" s="62"/>
      <c r="AQ70" s="62"/>
      <c r="AR70" s="62"/>
      <c r="AS70" s="62"/>
      <c r="AT70" s="62"/>
      <c r="AU70" s="62"/>
      <c r="AV70" s="62"/>
      <c r="AW70" s="62"/>
      <c r="AX70" s="62"/>
      <c r="AY70" s="62"/>
      <c r="AZ70" s="62"/>
      <c r="BA70" s="62"/>
      <c r="BB70" s="62"/>
      <c r="BC70" s="62"/>
      <c r="BD70" s="62"/>
      <c r="BE70" s="62"/>
      <c r="BF70" s="62"/>
      <c r="BG70" s="62"/>
      <c r="BH70" s="62"/>
      <c r="BI70" s="62"/>
      <c r="BJ70" s="62"/>
      <c r="BK70" s="62"/>
    </row>
    <row r="71" spans="1:63" x14ac:dyDescent="0.3">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62"/>
      <c r="AG71" s="62"/>
      <c r="AH71" s="62"/>
      <c r="AI71" s="62"/>
      <c r="AJ71" s="62"/>
      <c r="AK71" s="62"/>
      <c r="AL71" s="62"/>
      <c r="AM71" s="62"/>
      <c r="AN71" s="62"/>
      <c r="AO71" s="62"/>
      <c r="AP71" s="62"/>
      <c r="AQ71" s="62"/>
      <c r="AR71" s="62"/>
      <c r="AS71" s="62"/>
      <c r="AT71" s="62"/>
      <c r="AU71" s="62"/>
      <c r="AV71" s="62"/>
      <c r="AW71" s="62"/>
      <c r="AX71" s="62"/>
      <c r="AY71" s="62"/>
      <c r="AZ71" s="62"/>
      <c r="BA71" s="62"/>
      <c r="BB71" s="62"/>
      <c r="BC71" s="62"/>
      <c r="BD71" s="62"/>
      <c r="BE71" s="62"/>
      <c r="BF71" s="62"/>
      <c r="BG71" s="62"/>
      <c r="BH71" s="62"/>
      <c r="BI71" s="62"/>
      <c r="BJ71" s="62"/>
      <c r="BK71" s="62"/>
    </row>
    <row r="72" spans="1:63" x14ac:dyDescent="0.3">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62"/>
      <c r="AG72" s="62"/>
      <c r="AH72" s="62"/>
      <c r="AI72" s="62"/>
      <c r="AJ72" s="62"/>
      <c r="AK72" s="62"/>
      <c r="AL72" s="62"/>
      <c r="AM72" s="62"/>
      <c r="AN72" s="62"/>
      <c r="AO72" s="62"/>
      <c r="AP72" s="62"/>
      <c r="AQ72" s="62"/>
      <c r="AR72" s="62"/>
      <c r="AS72" s="62"/>
      <c r="AT72" s="62"/>
      <c r="AU72" s="62"/>
      <c r="AV72" s="62"/>
      <c r="AW72" s="62"/>
      <c r="AX72" s="62"/>
      <c r="AY72" s="62"/>
      <c r="AZ72" s="62"/>
      <c r="BA72" s="62"/>
      <c r="BB72" s="62"/>
      <c r="BC72" s="62"/>
      <c r="BD72" s="62"/>
      <c r="BE72" s="62"/>
      <c r="BF72" s="62"/>
      <c r="BG72" s="62"/>
      <c r="BH72" s="62"/>
      <c r="BI72" s="62"/>
      <c r="BJ72" s="62"/>
      <c r="BK72" s="62"/>
    </row>
    <row r="73" spans="1:63" x14ac:dyDescent="0.3">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62"/>
      <c r="AG73" s="62"/>
      <c r="AH73" s="62"/>
      <c r="AI73" s="62"/>
      <c r="AJ73" s="62"/>
      <c r="AK73" s="62"/>
      <c r="AL73" s="62"/>
      <c r="AM73" s="62"/>
      <c r="AN73" s="62"/>
      <c r="AO73" s="62"/>
      <c r="AP73" s="62"/>
      <c r="AQ73" s="62"/>
      <c r="AR73" s="62"/>
      <c r="AS73" s="62"/>
      <c r="AT73" s="62"/>
      <c r="AU73" s="62"/>
      <c r="AV73" s="62"/>
      <c r="AW73" s="62"/>
      <c r="AX73" s="62"/>
      <c r="AY73" s="62"/>
      <c r="AZ73" s="62"/>
      <c r="BA73" s="62"/>
      <c r="BB73" s="62"/>
      <c r="BC73" s="62"/>
      <c r="BD73" s="62"/>
      <c r="BE73" s="62"/>
      <c r="BF73" s="62"/>
      <c r="BG73" s="62"/>
      <c r="BH73" s="62"/>
      <c r="BI73" s="62"/>
      <c r="BJ73" s="62"/>
      <c r="BK73" s="62"/>
    </row>
    <row r="74" spans="1:63" x14ac:dyDescent="0.3">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62"/>
      <c r="AG74" s="62"/>
      <c r="AH74" s="62"/>
      <c r="AI74" s="62"/>
      <c r="AJ74" s="62"/>
      <c r="AK74" s="62"/>
      <c r="AL74" s="62"/>
      <c r="AM74" s="62"/>
      <c r="AN74" s="62"/>
      <c r="AO74" s="62"/>
      <c r="AP74" s="62"/>
      <c r="AQ74" s="62"/>
      <c r="AR74" s="62"/>
      <c r="AS74" s="62"/>
      <c r="AT74" s="62"/>
      <c r="AU74" s="62"/>
      <c r="AV74" s="62"/>
      <c r="AW74" s="62"/>
      <c r="AX74" s="62"/>
      <c r="AY74" s="62"/>
      <c r="AZ74" s="62"/>
      <c r="BA74" s="62"/>
      <c r="BB74" s="62"/>
      <c r="BC74" s="62"/>
      <c r="BD74" s="62"/>
      <c r="BE74" s="62"/>
      <c r="BF74" s="62"/>
      <c r="BG74" s="62"/>
      <c r="BH74" s="62"/>
      <c r="BI74" s="62"/>
      <c r="BJ74" s="62"/>
      <c r="BK74" s="62"/>
    </row>
    <row r="75" spans="1:63" x14ac:dyDescent="0.3">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62"/>
      <c r="AG75" s="62"/>
      <c r="AH75" s="62"/>
      <c r="AI75" s="62"/>
      <c r="AJ75" s="62"/>
      <c r="AK75" s="62"/>
      <c r="AL75" s="62"/>
      <c r="AM75" s="62"/>
      <c r="AN75" s="62"/>
      <c r="AO75" s="62"/>
      <c r="AP75" s="62"/>
      <c r="AQ75" s="62"/>
      <c r="AR75" s="62"/>
      <c r="AS75" s="62"/>
      <c r="AT75" s="62"/>
      <c r="AU75" s="62"/>
      <c r="AV75" s="62"/>
      <c r="AW75" s="62"/>
      <c r="AX75" s="62"/>
      <c r="AY75" s="62"/>
      <c r="AZ75" s="62"/>
      <c r="BA75" s="62"/>
      <c r="BB75" s="62"/>
      <c r="BC75" s="62"/>
      <c r="BD75" s="62"/>
      <c r="BE75" s="62"/>
      <c r="BF75" s="62"/>
      <c r="BG75" s="62"/>
      <c r="BH75" s="62"/>
      <c r="BI75" s="62"/>
      <c r="BJ75" s="62"/>
      <c r="BK75" s="62"/>
    </row>
    <row r="76" spans="1:63" x14ac:dyDescent="0.3">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62"/>
      <c r="AG76" s="62"/>
      <c r="AH76" s="62"/>
      <c r="AI76" s="62"/>
      <c r="AJ76" s="62"/>
      <c r="AK76" s="62"/>
      <c r="AL76" s="62"/>
      <c r="AM76" s="62"/>
      <c r="AN76" s="62"/>
      <c r="AO76" s="62"/>
      <c r="AP76" s="62"/>
      <c r="AQ76" s="62"/>
      <c r="AR76" s="62"/>
      <c r="AS76" s="62"/>
      <c r="AT76" s="62"/>
      <c r="AU76" s="62"/>
      <c r="AV76" s="62"/>
      <c r="AW76" s="62"/>
      <c r="AX76" s="62"/>
      <c r="AY76" s="62"/>
      <c r="AZ76" s="62"/>
      <c r="BA76" s="62"/>
      <c r="BB76" s="62"/>
      <c r="BC76" s="62"/>
      <c r="BD76" s="62"/>
      <c r="BE76" s="62"/>
      <c r="BF76" s="62"/>
      <c r="BG76" s="62"/>
      <c r="BH76" s="62"/>
      <c r="BI76" s="62"/>
      <c r="BJ76" s="62"/>
      <c r="BK76" s="62"/>
    </row>
    <row r="77" spans="1:63" x14ac:dyDescent="0.3">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62"/>
      <c r="AG77" s="62"/>
      <c r="AH77" s="62"/>
      <c r="AI77" s="62"/>
      <c r="AJ77" s="62"/>
      <c r="AK77" s="62"/>
      <c r="AL77" s="62"/>
      <c r="AM77" s="62"/>
      <c r="AN77" s="62"/>
      <c r="AO77" s="62"/>
      <c r="AP77" s="62"/>
      <c r="AQ77" s="62"/>
      <c r="AR77" s="62"/>
      <c r="AS77" s="62"/>
      <c r="AT77" s="62"/>
      <c r="AU77" s="62"/>
      <c r="AV77" s="62"/>
      <c r="AW77" s="62"/>
      <c r="AX77" s="62"/>
      <c r="AY77" s="62"/>
      <c r="AZ77" s="62"/>
      <c r="BA77" s="62"/>
      <c r="BB77" s="62"/>
      <c r="BC77" s="62"/>
      <c r="BD77" s="62"/>
      <c r="BE77" s="62"/>
      <c r="BF77" s="62"/>
      <c r="BG77" s="62"/>
      <c r="BH77" s="62"/>
      <c r="BI77" s="62"/>
      <c r="BJ77" s="62"/>
      <c r="BK77" s="62"/>
    </row>
    <row r="78" spans="1:63" x14ac:dyDescent="0.3">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62"/>
      <c r="AS78" s="62"/>
      <c r="AT78" s="62"/>
      <c r="AU78" s="62"/>
      <c r="AV78" s="62"/>
      <c r="AW78" s="62"/>
      <c r="AX78" s="62"/>
      <c r="AY78" s="62"/>
      <c r="AZ78" s="62"/>
      <c r="BA78" s="62"/>
      <c r="BB78" s="62"/>
      <c r="BC78" s="62"/>
      <c r="BD78" s="62"/>
      <c r="BE78" s="62"/>
      <c r="BF78" s="62"/>
      <c r="BG78" s="62"/>
      <c r="BH78" s="62"/>
      <c r="BI78" s="62"/>
      <c r="BJ78" s="62"/>
      <c r="BK78" s="62"/>
    </row>
    <row r="79" spans="1:63" x14ac:dyDescent="0.3">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2"/>
      <c r="AT79" s="62"/>
      <c r="AU79" s="62"/>
      <c r="AV79" s="62"/>
      <c r="AW79" s="62"/>
      <c r="AX79" s="62"/>
      <c r="AY79" s="62"/>
      <c r="AZ79" s="62"/>
      <c r="BA79" s="62"/>
      <c r="BB79" s="62"/>
      <c r="BC79" s="62"/>
      <c r="BD79" s="62"/>
      <c r="BE79" s="62"/>
      <c r="BF79" s="62"/>
      <c r="BG79" s="62"/>
      <c r="BH79" s="62"/>
      <c r="BI79" s="62"/>
      <c r="BJ79" s="62"/>
      <c r="BK79" s="62"/>
    </row>
    <row r="80" spans="1:63" x14ac:dyDescent="0.3">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2"/>
      <c r="BG80" s="62"/>
      <c r="BH80" s="62"/>
      <c r="BI80" s="62"/>
      <c r="BJ80" s="62"/>
      <c r="BK80" s="62"/>
    </row>
    <row r="81" spans="1:63" x14ac:dyDescent="0.3">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2"/>
      <c r="AT81" s="62"/>
      <c r="AU81" s="62"/>
      <c r="AV81" s="62"/>
      <c r="AW81" s="62"/>
      <c r="AX81" s="62"/>
      <c r="AY81" s="62"/>
      <c r="AZ81" s="62"/>
      <c r="BA81" s="62"/>
      <c r="BB81" s="62"/>
      <c r="BC81" s="62"/>
      <c r="BD81" s="62"/>
      <c r="BE81" s="62"/>
      <c r="BF81" s="62"/>
      <c r="BG81" s="62"/>
      <c r="BH81" s="62"/>
      <c r="BI81" s="62"/>
      <c r="BJ81" s="62"/>
      <c r="BK81" s="62"/>
    </row>
    <row r="82" spans="1:63" x14ac:dyDescent="0.3">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62"/>
      <c r="AG82" s="62"/>
      <c r="AH82" s="62"/>
      <c r="AI82" s="62"/>
      <c r="AJ82" s="62"/>
      <c r="AK82" s="62"/>
      <c r="AL82" s="62"/>
      <c r="AM82" s="62"/>
      <c r="AN82" s="62"/>
      <c r="AO82" s="62"/>
      <c r="AP82" s="62"/>
      <c r="AQ82" s="62"/>
      <c r="AR82" s="62"/>
      <c r="AS82" s="62"/>
      <c r="AT82" s="62"/>
      <c r="AU82" s="62"/>
      <c r="AV82" s="62"/>
      <c r="AW82" s="62"/>
      <c r="AX82" s="62"/>
      <c r="AY82" s="62"/>
      <c r="AZ82" s="62"/>
      <c r="BA82" s="62"/>
      <c r="BB82" s="62"/>
      <c r="BC82" s="62"/>
      <c r="BD82" s="62"/>
      <c r="BE82" s="62"/>
      <c r="BF82" s="62"/>
      <c r="BG82" s="62"/>
      <c r="BH82" s="62"/>
      <c r="BI82" s="62"/>
      <c r="BJ82" s="62"/>
      <c r="BK82" s="62"/>
    </row>
    <row r="83" spans="1:63" x14ac:dyDescent="0.3">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row>
    <row r="84" spans="1:63" x14ac:dyDescent="0.3">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62"/>
      <c r="AT84" s="62"/>
      <c r="AU84" s="62"/>
      <c r="AV84" s="62"/>
      <c r="AW84" s="62"/>
      <c r="AX84" s="62"/>
      <c r="AY84" s="62"/>
      <c r="AZ84" s="62"/>
      <c r="BA84" s="62"/>
      <c r="BB84" s="62"/>
      <c r="BC84" s="62"/>
      <c r="BD84" s="62"/>
      <c r="BE84" s="62"/>
      <c r="BF84" s="62"/>
      <c r="BG84" s="62"/>
      <c r="BH84" s="62"/>
      <c r="BI84" s="62"/>
      <c r="BJ84" s="62"/>
      <c r="BK84" s="62"/>
    </row>
    <row r="85" spans="1:63" x14ac:dyDescent="0.3">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62"/>
      <c r="AG85" s="62"/>
      <c r="AH85" s="62"/>
      <c r="AI85" s="62"/>
      <c r="AJ85" s="62"/>
      <c r="AK85" s="62"/>
      <c r="AL85" s="62"/>
      <c r="AM85" s="62"/>
      <c r="AN85" s="62"/>
      <c r="AO85" s="62"/>
      <c r="AP85" s="62"/>
      <c r="AQ85" s="62"/>
      <c r="AR85" s="62"/>
      <c r="AS85" s="62"/>
      <c r="AT85" s="62"/>
      <c r="AU85" s="62"/>
      <c r="AV85" s="62"/>
      <c r="AW85" s="62"/>
      <c r="AX85" s="62"/>
      <c r="AY85" s="62"/>
      <c r="AZ85" s="62"/>
      <c r="BA85" s="62"/>
      <c r="BB85" s="62"/>
      <c r="BC85" s="62"/>
      <c r="BD85" s="62"/>
      <c r="BE85" s="62"/>
      <c r="BF85" s="62"/>
      <c r="BG85" s="62"/>
      <c r="BH85" s="62"/>
      <c r="BI85" s="62"/>
      <c r="BJ85" s="62"/>
      <c r="BK85" s="62"/>
    </row>
    <row r="86" spans="1:63" x14ac:dyDescent="0.3">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62"/>
      <c r="AG86" s="62"/>
      <c r="AH86" s="62"/>
      <c r="AI86" s="62"/>
      <c r="AJ86" s="62"/>
      <c r="AK86" s="62"/>
      <c r="AL86" s="62"/>
      <c r="AM86" s="62"/>
      <c r="AN86" s="62"/>
      <c r="AO86" s="62"/>
      <c r="AP86" s="62"/>
      <c r="AQ86" s="62"/>
      <c r="AR86" s="62"/>
      <c r="AS86" s="62"/>
      <c r="AT86" s="62"/>
      <c r="AU86" s="62"/>
      <c r="AV86" s="62"/>
      <c r="AW86" s="62"/>
      <c r="AX86" s="62"/>
      <c r="AY86" s="62"/>
      <c r="AZ86" s="62"/>
      <c r="BA86" s="62"/>
      <c r="BB86" s="62"/>
      <c r="BC86" s="62"/>
      <c r="BD86" s="62"/>
      <c r="BE86" s="62"/>
      <c r="BF86" s="62"/>
      <c r="BG86" s="62"/>
      <c r="BH86" s="62"/>
      <c r="BI86" s="62"/>
      <c r="BJ86" s="62"/>
      <c r="BK86" s="62"/>
    </row>
    <row r="87" spans="1:63" x14ac:dyDescent="0.3">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62"/>
      <c r="AG87" s="62"/>
      <c r="AH87" s="62"/>
      <c r="AI87" s="62"/>
      <c r="AJ87" s="62"/>
      <c r="AK87" s="62"/>
      <c r="AL87" s="62"/>
      <c r="AM87" s="62"/>
      <c r="AN87" s="62"/>
      <c r="AO87" s="62"/>
      <c r="AP87" s="62"/>
      <c r="AQ87" s="62"/>
      <c r="AR87" s="62"/>
      <c r="AS87" s="62"/>
      <c r="AT87" s="62"/>
      <c r="AU87" s="62"/>
      <c r="AV87" s="62"/>
      <c r="AW87" s="62"/>
      <c r="AX87" s="62"/>
      <c r="AY87" s="62"/>
      <c r="AZ87" s="62"/>
      <c r="BA87" s="62"/>
      <c r="BB87" s="62"/>
      <c r="BC87" s="62"/>
      <c r="BD87" s="62"/>
      <c r="BE87" s="62"/>
      <c r="BF87" s="62"/>
      <c r="BG87" s="62"/>
      <c r="BH87" s="62"/>
      <c r="BI87" s="62"/>
      <c r="BJ87" s="62"/>
      <c r="BK87" s="62"/>
    </row>
    <row r="88" spans="1:63" x14ac:dyDescent="0.3">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62"/>
      <c r="AG88" s="62"/>
      <c r="AH88" s="62"/>
      <c r="AI88" s="62"/>
      <c r="AJ88" s="62"/>
      <c r="AK88" s="62"/>
      <c r="AL88" s="62"/>
      <c r="AM88" s="62"/>
      <c r="AN88" s="62"/>
      <c r="AO88" s="62"/>
      <c r="AP88" s="62"/>
      <c r="AQ88" s="62"/>
      <c r="AR88" s="62"/>
      <c r="AS88" s="62"/>
      <c r="AT88" s="62"/>
      <c r="AU88" s="62"/>
      <c r="AV88" s="62"/>
      <c r="AW88" s="62"/>
      <c r="AX88" s="62"/>
      <c r="AY88" s="62"/>
      <c r="AZ88" s="62"/>
      <c r="BA88" s="62"/>
      <c r="BB88" s="62"/>
      <c r="BC88" s="62"/>
      <c r="BD88" s="62"/>
      <c r="BE88" s="62"/>
      <c r="BF88" s="62"/>
      <c r="BG88" s="62"/>
      <c r="BH88" s="62"/>
      <c r="BI88" s="62"/>
      <c r="BJ88" s="62"/>
      <c r="BK88" s="62"/>
    </row>
    <row r="89" spans="1:63" x14ac:dyDescent="0.3">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62"/>
      <c r="AG89" s="62"/>
      <c r="AH89" s="62"/>
      <c r="AI89" s="62"/>
      <c r="AJ89" s="62"/>
      <c r="AK89" s="62"/>
      <c r="AL89" s="62"/>
      <c r="AM89" s="62"/>
      <c r="AN89" s="62"/>
      <c r="AO89" s="62"/>
      <c r="AP89" s="62"/>
      <c r="AQ89" s="62"/>
      <c r="AR89" s="62"/>
      <c r="AS89" s="62"/>
      <c r="AT89" s="62"/>
      <c r="AU89" s="62"/>
      <c r="AV89" s="62"/>
      <c r="AW89" s="62"/>
      <c r="AX89" s="62"/>
      <c r="AY89" s="62"/>
      <c r="AZ89" s="62"/>
      <c r="BA89" s="62"/>
      <c r="BB89" s="62"/>
      <c r="BC89" s="62"/>
      <c r="BD89" s="62"/>
      <c r="BE89" s="62"/>
      <c r="BF89" s="62"/>
      <c r="BG89" s="62"/>
      <c r="BH89" s="62"/>
      <c r="BI89" s="62"/>
      <c r="BJ89" s="62"/>
      <c r="BK89" s="62"/>
    </row>
    <row r="90" spans="1:63" x14ac:dyDescent="0.3">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62"/>
      <c r="AG90" s="62"/>
      <c r="AH90" s="62"/>
      <c r="AI90" s="62"/>
      <c r="AJ90" s="62"/>
      <c r="AK90" s="62"/>
      <c r="AL90" s="62"/>
      <c r="AM90" s="62"/>
      <c r="AN90" s="62"/>
      <c r="AO90" s="62"/>
      <c r="AP90" s="62"/>
      <c r="AQ90" s="62"/>
      <c r="AR90" s="62"/>
      <c r="AS90" s="62"/>
      <c r="AT90" s="62"/>
      <c r="AU90" s="62"/>
      <c r="AV90" s="62"/>
      <c r="AW90" s="62"/>
      <c r="AX90" s="62"/>
      <c r="AY90" s="62"/>
      <c r="AZ90" s="62"/>
      <c r="BA90" s="62"/>
      <c r="BB90" s="62"/>
      <c r="BC90" s="62"/>
      <c r="BD90" s="62"/>
      <c r="BE90" s="62"/>
      <c r="BF90" s="62"/>
      <c r="BG90" s="62"/>
      <c r="BH90" s="62"/>
      <c r="BI90" s="62"/>
      <c r="BJ90" s="62"/>
      <c r="BK90" s="62"/>
    </row>
    <row r="91" spans="1:63" x14ac:dyDescent="0.3">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row>
    <row r="92" spans="1:63" x14ac:dyDescent="0.3">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c r="AW92" s="62"/>
      <c r="AX92" s="62"/>
      <c r="AY92" s="62"/>
      <c r="AZ92" s="62"/>
      <c r="BA92" s="62"/>
      <c r="BB92" s="62"/>
      <c r="BC92" s="62"/>
      <c r="BD92" s="62"/>
      <c r="BE92" s="62"/>
      <c r="BF92" s="62"/>
      <c r="BG92" s="62"/>
      <c r="BH92" s="62"/>
      <c r="BI92" s="62"/>
      <c r="BJ92" s="62"/>
      <c r="BK92" s="62"/>
    </row>
    <row r="93" spans="1:63" x14ac:dyDescent="0.3">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c r="AR93" s="62"/>
      <c r="AS93" s="62"/>
      <c r="AT93" s="62"/>
      <c r="AU93" s="62"/>
      <c r="AV93" s="62"/>
      <c r="AW93" s="62"/>
      <c r="AX93" s="62"/>
      <c r="AY93" s="62"/>
      <c r="AZ93" s="62"/>
      <c r="BA93" s="62"/>
      <c r="BB93" s="62"/>
      <c r="BC93" s="62"/>
      <c r="BD93" s="62"/>
      <c r="BE93" s="62"/>
      <c r="BF93" s="62"/>
      <c r="BG93" s="62"/>
      <c r="BH93" s="62"/>
      <c r="BI93" s="62"/>
      <c r="BJ93" s="62"/>
      <c r="BK93" s="62"/>
    </row>
    <row r="94" spans="1:63" x14ac:dyDescent="0.3">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62"/>
      <c r="AG94" s="62"/>
      <c r="AH94" s="62"/>
      <c r="AI94" s="62"/>
      <c r="AJ94" s="62"/>
      <c r="AK94" s="62"/>
      <c r="AL94" s="62"/>
      <c r="AM94" s="62"/>
      <c r="AN94" s="62"/>
      <c r="AO94" s="62"/>
      <c r="AP94" s="62"/>
      <c r="AQ94" s="62"/>
      <c r="AR94" s="62"/>
      <c r="AS94" s="62"/>
      <c r="AT94" s="62"/>
      <c r="AU94" s="62"/>
      <c r="AV94" s="62"/>
      <c r="AW94" s="62"/>
      <c r="AX94" s="62"/>
      <c r="AY94" s="62"/>
      <c r="AZ94" s="62"/>
      <c r="BA94" s="62"/>
      <c r="BB94" s="62"/>
      <c r="BC94" s="62"/>
      <c r="BD94" s="62"/>
      <c r="BE94" s="62"/>
      <c r="BF94" s="62"/>
      <c r="BG94" s="62"/>
      <c r="BH94" s="62"/>
      <c r="BI94" s="62"/>
      <c r="BJ94" s="62"/>
      <c r="BK94" s="62"/>
    </row>
    <row r="95" spans="1:63" x14ac:dyDescent="0.3">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62"/>
      <c r="AG95" s="62"/>
      <c r="AH95" s="62"/>
      <c r="AI95" s="62"/>
      <c r="AJ95" s="62"/>
      <c r="AK95" s="62"/>
      <c r="AL95" s="62"/>
      <c r="AM95" s="62"/>
      <c r="AN95" s="62"/>
      <c r="AO95" s="62"/>
      <c r="AP95" s="62"/>
      <c r="AQ95" s="62"/>
      <c r="AR95" s="62"/>
      <c r="AS95" s="62"/>
      <c r="AT95" s="62"/>
      <c r="AU95" s="62"/>
      <c r="AV95" s="62"/>
      <c r="AW95" s="62"/>
      <c r="AX95" s="62"/>
      <c r="AY95" s="62"/>
      <c r="AZ95" s="62"/>
      <c r="BA95" s="62"/>
      <c r="BB95" s="62"/>
      <c r="BC95" s="62"/>
      <c r="BD95" s="62"/>
      <c r="BE95" s="62"/>
      <c r="BF95" s="62"/>
      <c r="BG95" s="62"/>
      <c r="BH95" s="62"/>
      <c r="BI95" s="62"/>
      <c r="BJ95" s="62"/>
      <c r="BK95" s="62"/>
    </row>
    <row r="96" spans="1:63" x14ac:dyDescent="0.3">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62"/>
      <c r="AG96" s="62"/>
      <c r="AH96" s="62"/>
      <c r="AI96" s="62"/>
      <c r="AJ96" s="62"/>
      <c r="AK96" s="62"/>
      <c r="AL96" s="62"/>
      <c r="AM96" s="62"/>
      <c r="AN96" s="62"/>
      <c r="AO96" s="62"/>
      <c r="AP96" s="62"/>
      <c r="AQ96" s="62"/>
      <c r="AR96" s="62"/>
      <c r="AS96" s="62"/>
      <c r="AT96" s="62"/>
      <c r="AU96" s="62"/>
      <c r="AV96" s="62"/>
      <c r="AW96" s="62"/>
      <c r="AX96" s="62"/>
      <c r="AY96" s="62"/>
      <c r="AZ96" s="62"/>
      <c r="BA96" s="62"/>
      <c r="BB96" s="62"/>
      <c r="BC96" s="62"/>
      <c r="BD96" s="62"/>
      <c r="BE96" s="62"/>
      <c r="BF96" s="62"/>
      <c r="BG96" s="62"/>
      <c r="BH96" s="62"/>
      <c r="BI96" s="62"/>
      <c r="BJ96" s="62"/>
      <c r="BK96" s="62"/>
    </row>
    <row r="97" spans="1:63" x14ac:dyDescent="0.3">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62"/>
      <c r="AG97" s="62"/>
      <c r="AH97" s="62"/>
      <c r="AI97" s="62"/>
      <c r="AJ97" s="62"/>
      <c r="AK97" s="62"/>
      <c r="AL97" s="62"/>
      <c r="AM97" s="62"/>
      <c r="AN97" s="62"/>
      <c r="AO97" s="62"/>
      <c r="AP97" s="62"/>
      <c r="AQ97" s="62"/>
      <c r="AR97" s="62"/>
      <c r="AS97" s="62"/>
      <c r="AT97" s="62"/>
      <c r="AU97" s="62"/>
      <c r="AV97" s="62"/>
      <c r="AW97" s="62"/>
      <c r="AX97" s="62"/>
      <c r="AY97" s="62"/>
      <c r="AZ97" s="62"/>
      <c r="BA97" s="62"/>
      <c r="BB97" s="62"/>
      <c r="BC97" s="62"/>
      <c r="BD97" s="62"/>
      <c r="BE97" s="62"/>
      <c r="BF97" s="62"/>
      <c r="BG97" s="62"/>
      <c r="BH97" s="62"/>
      <c r="BI97" s="62"/>
      <c r="BJ97" s="62"/>
      <c r="BK97" s="62"/>
    </row>
    <row r="98" spans="1:63" x14ac:dyDescent="0.3">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62"/>
      <c r="AG98" s="62"/>
      <c r="AH98" s="62"/>
      <c r="AI98" s="62"/>
      <c r="AJ98" s="62"/>
      <c r="AK98" s="62"/>
      <c r="AL98" s="62"/>
      <c r="AM98" s="62"/>
      <c r="AN98" s="62"/>
      <c r="AO98" s="62"/>
      <c r="AP98" s="62"/>
      <c r="AQ98" s="62"/>
      <c r="AR98" s="62"/>
      <c r="AS98" s="62"/>
      <c r="AT98" s="62"/>
      <c r="AU98" s="62"/>
      <c r="AV98" s="62"/>
      <c r="AW98" s="62"/>
      <c r="AX98" s="62"/>
      <c r="AY98" s="62"/>
      <c r="AZ98" s="62"/>
      <c r="BA98" s="62"/>
      <c r="BB98" s="62"/>
      <c r="BC98" s="62"/>
      <c r="BD98" s="62"/>
      <c r="BE98" s="62"/>
      <c r="BF98" s="62"/>
      <c r="BG98" s="62"/>
      <c r="BH98" s="62"/>
      <c r="BI98" s="62"/>
      <c r="BJ98" s="62"/>
      <c r="BK98" s="62"/>
    </row>
    <row r="99" spans="1:63" x14ac:dyDescent="0.3">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62"/>
      <c r="AG99" s="62"/>
      <c r="AH99" s="62"/>
      <c r="AI99" s="62"/>
      <c r="AJ99" s="62"/>
      <c r="AK99" s="62"/>
      <c r="AL99" s="62"/>
      <c r="AM99" s="62"/>
      <c r="AN99" s="62"/>
      <c r="AO99" s="62"/>
      <c r="AP99" s="62"/>
      <c r="AQ99" s="62"/>
      <c r="AR99" s="62"/>
      <c r="AS99" s="62"/>
      <c r="AT99" s="62"/>
      <c r="AU99" s="62"/>
      <c r="AV99" s="62"/>
      <c r="AW99" s="62"/>
      <c r="AX99" s="62"/>
      <c r="AY99" s="62"/>
      <c r="AZ99" s="62"/>
      <c r="BA99" s="62"/>
      <c r="BB99" s="62"/>
      <c r="BC99" s="62"/>
      <c r="BD99" s="62"/>
      <c r="BE99" s="62"/>
      <c r="BF99" s="62"/>
      <c r="BG99" s="62"/>
      <c r="BH99" s="62"/>
      <c r="BI99" s="62"/>
      <c r="BJ99" s="62"/>
      <c r="BK99" s="62"/>
    </row>
    <row r="100" spans="1:63" x14ac:dyDescent="0.3">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62"/>
      <c r="AG100" s="62"/>
      <c r="AH100" s="62"/>
      <c r="AI100" s="62"/>
      <c r="AJ100" s="62"/>
      <c r="AK100" s="62"/>
      <c r="AL100" s="62"/>
      <c r="AM100" s="62"/>
      <c r="AN100" s="62"/>
      <c r="AO100" s="62"/>
      <c r="AP100" s="62"/>
      <c r="AQ100" s="62"/>
      <c r="AR100" s="62"/>
      <c r="AS100" s="62"/>
      <c r="AT100" s="62"/>
      <c r="AU100" s="62"/>
      <c r="AV100" s="62"/>
      <c r="AW100" s="62"/>
      <c r="AX100" s="62"/>
      <c r="AY100" s="62"/>
      <c r="AZ100" s="62"/>
      <c r="BA100" s="62"/>
      <c r="BB100" s="62"/>
      <c r="BC100" s="62"/>
      <c r="BD100" s="62"/>
      <c r="BE100" s="62"/>
      <c r="BF100" s="62"/>
      <c r="BG100" s="62"/>
      <c r="BH100" s="62"/>
      <c r="BI100" s="62"/>
      <c r="BJ100" s="62"/>
      <c r="BK100" s="62"/>
    </row>
    <row r="101" spans="1:63" x14ac:dyDescent="0.3">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62"/>
      <c r="AG101" s="62"/>
      <c r="AH101" s="62"/>
      <c r="AI101" s="62"/>
      <c r="AJ101" s="62"/>
      <c r="AK101" s="62"/>
      <c r="AL101" s="62"/>
      <c r="AM101" s="62"/>
      <c r="AN101" s="62"/>
      <c r="AO101" s="62"/>
      <c r="AP101" s="62"/>
      <c r="AQ101" s="62"/>
      <c r="AR101" s="62"/>
      <c r="AS101" s="62"/>
      <c r="AT101" s="62"/>
      <c r="AU101" s="62"/>
      <c r="AV101" s="62"/>
      <c r="AW101" s="62"/>
      <c r="AX101" s="62"/>
      <c r="AY101" s="62"/>
      <c r="AZ101" s="62"/>
      <c r="BA101" s="62"/>
      <c r="BB101" s="62"/>
      <c r="BC101" s="62"/>
      <c r="BD101" s="62"/>
      <c r="BE101" s="62"/>
      <c r="BF101" s="62"/>
      <c r="BG101" s="62"/>
      <c r="BH101" s="62"/>
      <c r="BI101" s="62"/>
      <c r="BJ101" s="62"/>
      <c r="BK101" s="62"/>
    </row>
    <row r="102" spans="1:63" x14ac:dyDescent="0.3">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62"/>
      <c r="AG102" s="62"/>
      <c r="AH102" s="62"/>
      <c r="AI102" s="62"/>
      <c r="AJ102" s="62"/>
      <c r="AK102" s="62"/>
      <c r="AL102" s="62"/>
      <c r="AM102" s="62"/>
      <c r="AN102" s="62"/>
      <c r="AO102" s="62"/>
      <c r="AP102" s="62"/>
      <c r="AQ102" s="62"/>
      <c r="AR102" s="62"/>
      <c r="AS102" s="62"/>
      <c r="AT102" s="62"/>
      <c r="AU102" s="62"/>
      <c r="AV102" s="62"/>
      <c r="AW102" s="62"/>
      <c r="AX102" s="62"/>
      <c r="AY102" s="62"/>
      <c r="AZ102" s="62"/>
      <c r="BA102" s="62"/>
      <c r="BB102" s="62"/>
      <c r="BC102" s="62"/>
      <c r="BD102" s="62"/>
      <c r="BE102" s="62"/>
      <c r="BF102" s="62"/>
      <c r="BG102" s="62"/>
      <c r="BH102" s="62"/>
      <c r="BI102" s="62"/>
      <c r="BJ102" s="62"/>
      <c r="BK102" s="62"/>
    </row>
    <row r="103" spans="1:63" x14ac:dyDescent="0.3">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62"/>
      <c r="AG103" s="62"/>
      <c r="AH103" s="62"/>
      <c r="AI103" s="62"/>
      <c r="AJ103" s="62"/>
      <c r="AK103" s="62"/>
      <c r="AL103" s="62"/>
      <c r="AM103" s="62"/>
      <c r="AN103" s="62"/>
      <c r="AO103" s="62"/>
      <c r="AP103" s="62"/>
      <c r="AQ103" s="62"/>
      <c r="AR103" s="62"/>
      <c r="AS103" s="62"/>
      <c r="AT103" s="62"/>
      <c r="AU103" s="62"/>
      <c r="AV103" s="62"/>
      <c r="AW103" s="62"/>
      <c r="AX103" s="62"/>
      <c r="AY103" s="62"/>
      <c r="AZ103" s="62"/>
      <c r="BA103" s="62"/>
      <c r="BB103" s="62"/>
      <c r="BC103" s="62"/>
      <c r="BD103" s="62"/>
      <c r="BE103" s="62"/>
      <c r="BF103" s="62"/>
      <c r="BG103" s="62"/>
      <c r="BH103" s="62"/>
      <c r="BI103" s="62"/>
      <c r="BJ103" s="62"/>
      <c r="BK103" s="62"/>
    </row>
    <row r="104" spans="1:63" x14ac:dyDescent="0.3">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62"/>
      <c r="AG104" s="62"/>
      <c r="AH104" s="62"/>
      <c r="AI104" s="62"/>
      <c r="AJ104" s="62"/>
      <c r="AK104" s="62"/>
      <c r="AL104" s="62"/>
      <c r="AM104" s="62"/>
      <c r="AN104" s="62"/>
      <c r="AO104" s="62"/>
      <c r="AP104" s="62"/>
      <c r="AQ104" s="62"/>
      <c r="AR104" s="62"/>
      <c r="AS104" s="62"/>
      <c r="AT104" s="62"/>
      <c r="AU104" s="62"/>
      <c r="AV104" s="62"/>
      <c r="AW104" s="62"/>
      <c r="AX104" s="62"/>
      <c r="AY104" s="62"/>
      <c r="AZ104" s="62"/>
      <c r="BA104" s="62"/>
      <c r="BB104" s="62"/>
      <c r="BC104" s="62"/>
      <c r="BD104" s="62"/>
      <c r="BE104" s="62"/>
      <c r="BF104" s="62"/>
      <c r="BG104" s="62"/>
      <c r="BH104" s="62"/>
      <c r="BI104" s="62"/>
      <c r="BJ104" s="62"/>
      <c r="BK104" s="62"/>
    </row>
    <row r="105" spans="1:63" x14ac:dyDescent="0.3">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62"/>
      <c r="AG105" s="62"/>
      <c r="AH105" s="62"/>
      <c r="AI105" s="62"/>
      <c r="AJ105" s="62"/>
      <c r="AK105" s="62"/>
      <c r="AL105" s="62"/>
      <c r="AM105" s="62"/>
      <c r="AN105" s="62"/>
      <c r="AO105" s="62"/>
      <c r="AP105" s="62"/>
      <c r="AQ105" s="62"/>
      <c r="AR105" s="62"/>
      <c r="AS105" s="62"/>
      <c r="AT105" s="62"/>
      <c r="AU105" s="62"/>
      <c r="AV105" s="62"/>
      <c r="AW105" s="62"/>
      <c r="AX105" s="62"/>
      <c r="AY105" s="62"/>
      <c r="AZ105" s="62"/>
      <c r="BA105" s="62"/>
      <c r="BB105" s="62"/>
      <c r="BC105" s="62"/>
      <c r="BD105" s="62"/>
      <c r="BE105" s="62"/>
      <c r="BF105" s="62"/>
      <c r="BG105" s="62"/>
      <c r="BH105" s="62"/>
      <c r="BI105" s="62"/>
      <c r="BJ105" s="62"/>
      <c r="BK105" s="62"/>
    </row>
    <row r="106" spans="1:63" x14ac:dyDescent="0.3">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62"/>
      <c r="AG106" s="62"/>
      <c r="AH106" s="62"/>
      <c r="AI106" s="62"/>
      <c r="AJ106" s="62"/>
      <c r="AK106" s="62"/>
      <c r="AL106" s="62"/>
      <c r="AM106" s="62"/>
      <c r="AN106" s="62"/>
      <c r="AO106" s="62"/>
      <c r="AP106" s="62"/>
      <c r="AQ106" s="62"/>
      <c r="AR106" s="62"/>
      <c r="AS106" s="62"/>
      <c r="AT106" s="62"/>
      <c r="AU106" s="62"/>
      <c r="AV106" s="62"/>
      <c r="AW106" s="62"/>
      <c r="AX106" s="62"/>
      <c r="AY106" s="62"/>
      <c r="AZ106" s="62"/>
      <c r="BA106" s="62"/>
      <c r="BB106" s="62"/>
      <c r="BC106" s="62"/>
      <c r="BD106" s="62"/>
      <c r="BE106" s="62"/>
      <c r="BF106" s="62"/>
      <c r="BG106" s="62"/>
      <c r="BH106" s="62"/>
      <c r="BI106" s="62"/>
      <c r="BJ106" s="62"/>
      <c r="BK106" s="62"/>
    </row>
    <row r="107" spans="1:63" x14ac:dyDescent="0.3">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62"/>
      <c r="AG107" s="62"/>
      <c r="AH107" s="62"/>
      <c r="AI107" s="62"/>
      <c r="AJ107" s="62"/>
      <c r="AK107" s="62"/>
      <c r="AL107" s="62"/>
      <c r="AM107" s="62"/>
      <c r="AN107" s="62"/>
      <c r="AO107" s="62"/>
      <c r="AP107" s="62"/>
      <c r="AQ107" s="62"/>
      <c r="AR107" s="62"/>
      <c r="AS107" s="62"/>
      <c r="AT107" s="62"/>
      <c r="AU107" s="62"/>
      <c r="AV107" s="62"/>
      <c r="AW107" s="62"/>
      <c r="AX107" s="62"/>
      <c r="AY107" s="62"/>
      <c r="AZ107" s="62"/>
      <c r="BA107" s="62"/>
      <c r="BB107" s="62"/>
      <c r="BC107" s="62"/>
      <c r="BD107" s="62"/>
      <c r="BE107" s="62"/>
      <c r="BF107" s="62"/>
      <c r="BG107" s="62"/>
      <c r="BH107" s="62"/>
      <c r="BI107" s="62"/>
      <c r="BJ107" s="62"/>
      <c r="BK107" s="62"/>
    </row>
    <row r="108" spans="1:63" x14ac:dyDescent="0.3">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62"/>
      <c r="AG108" s="62"/>
      <c r="AH108" s="62"/>
      <c r="AI108" s="62"/>
      <c r="AJ108" s="62"/>
      <c r="AK108" s="62"/>
      <c r="AL108" s="62"/>
      <c r="AM108" s="62"/>
      <c r="AN108" s="62"/>
      <c r="AO108" s="62"/>
      <c r="AP108" s="62"/>
      <c r="AQ108" s="62"/>
      <c r="AR108" s="62"/>
      <c r="AS108" s="62"/>
      <c r="AT108" s="62"/>
      <c r="AU108" s="62"/>
      <c r="AV108" s="62"/>
      <c r="AW108" s="62"/>
      <c r="AX108" s="62"/>
      <c r="AY108" s="62"/>
      <c r="AZ108" s="62"/>
      <c r="BA108" s="62"/>
      <c r="BB108" s="62"/>
      <c r="BC108" s="62"/>
      <c r="BD108" s="62"/>
      <c r="BE108" s="62"/>
      <c r="BF108" s="62"/>
      <c r="BG108" s="62"/>
      <c r="BH108" s="62"/>
      <c r="BI108" s="62"/>
      <c r="BJ108" s="62"/>
      <c r="BK108" s="62"/>
    </row>
    <row r="109" spans="1:63" x14ac:dyDescent="0.3">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62"/>
      <c r="AG109" s="62"/>
      <c r="AH109" s="62"/>
      <c r="AI109" s="62"/>
      <c r="AJ109" s="62"/>
      <c r="AK109" s="62"/>
      <c r="AL109" s="62"/>
      <c r="AM109" s="62"/>
      <c r="AN109" s="62"/>
      <c r="AO109" s="62"/>
      <c r="AP109" s="62"/>
      <c r="AQ109" s="62"/>
      <c r="AR109" s="62"/>
      <c r="AS109" s="62"/>
      <c r="AT109" s="62"/>
      <c r="AU109" s="62"/>
      <c r="AV109" s="62"/>
      <c r="AW109" s="62"/>
      <c r="AX109" s="62"/>
      <c r="AY109" s="62"/>
      <c r="AZ109" s="62"/>
      <c r="BA109" s="62"/>
      <c r="BB109" s="62"/>
      <c r="BC109" s="62"/>
      <c r="BD109" s="62"/>
      <c r="BE109" s="62"/>
      <c r="BF109" s="62"/>
      <c r="BG109" s="62"/>
      <c r="BH109" s="62"/>
      <c r="BI109" s="62"/>
      <c r="BJ109" s="62"/>
      <c r="BK109" s="62"/>
    </row>
    <row r="110" spans="1:63" x14ac:dyDescent="0.3">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62"/>
      <c r="AG110" s="62"/>
      <c r="AH110" s="62"/>
      <c r="AI110" s="62"/>
      <c r="AJ110" s="62"/>
      <c r="AK110" s="62"/>
      <c r="AL110" s="62"/>
      <c r="AM110" s="62"/>
      <c r="AN110" s="62"/>
      <c r="AO110" s="62"/>
      <c r="AP110" s="62"/>
      <c r="AQ110" s="62"/>
      <c r="AR110" s="62"/>
      <c r="AS110" s="62"/>
      <c r="AT110" s="62"/>
      <c r="AU110" s="62"/>
      <c r="AV110" s="62"/>
      <c r="AW110" s="62"/>
      <c r="AX110" s="62"/>
      <c r="AY110" s="62"/>
      <c r="AZ110" s="62"/>
      <c r="BA110" s="62"/>
      <c r="BB110" s="62"/>
      <c r="BC110" s="62"/>
      <c r="BD110" s="62"/>
      <c r="BE110" s="62"/>
      <c r="BF110" s="62"/>
      <c r="BG110" s="62"/>
      <c r="BH110" s="62"/>
      <c r="BI110" s="62"/>
      <c r="BJ110" s="62"/>
      <c r="BK110" s="62"/>
    </row>
    <row r="111" spans="1:63" x14ac:dyDescent="0.3">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62"/>
      <c r="AG111" s="62"/>
      <c r="AH111" s="62"/>
      <c r="AI111" s="62"/>
      <c r="AJ111" s="62"/>
      <c r="AK111" s="62"/>
      <c r="AL111" s="62"/>
      <c r="AM111" s="62"/>
      <c r="AN111" s="62"/>
      <c r="AO111" s="62"/>
      <c r="AP111" s="62"/>
      <c r="AQ111" s="62"/>
      <c r="AR111" s="62"/>
      <c r="AS111" s="62"/>
      <c r="AT111" s="62"/>
      <c r="AU111" s="62"/>
      <c r="AV111" s="62"/>
      <c r="AW111" s="62"/>
      <c r="AX111" s="62"/>
      <c r="AY111" s="62"/>
      <c r="AZ111" s="62"/>
      <c r="BA111" s="62"/>
      <c r="BB111" s="62"/>
      <c r="BC111" s="62"/>
      <c r="BD111" s="62"/>
      <c r="BE111" s="62"/>
      <c r="BF111" s="62"/>
      <c r="BG111" s="62"/>
      <c r="BH111" s="62"/>
      <c r="BI111" s="62"/>
      <c r="BJ111" s="62"/>
      <c r="BK111" s="62"/>
    </row>
    <row r="112" spans="1:63" x14ac:dyDescent="0.3">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62"/>
      <c r="AG112" s="62"/>
      <c r="AH112" s="62"/>
      <c r="AI112" s="62"/>
      <c r="AJ112" s="62"/>
      <c r="AK112" s="62"/>
      <c r="AL112" s="62"/>
      <c r="AM112" s="62"/>
      <c r="AN112" s="62"/>
      <c r="AO112" s="62"/>
      <c r="AP112" s="62"/>
      <c r="AQ112" s="62"/>
      <c r="AR112" s="62"/>
      <c r="AS112" s="62"/>
      <c r="AT112" s="62"/>
      <c r="AU112" s="62"/>
      <c r="AV112" s="62"/>
      <c r="AW112" s="62"/>
      <c r="AX112" s="62"/>
      <c r="AY112" s="62"/>
      <c r="AZ112" s="62"/>
      <c r="BA112" s="62"/>
      <c r="BB112" s="62"/>
      <c r="BC112" s="62"/>
      <c r="BD112" s="62"/>
      <c r="BE112" s="62"/>
      <c r="BF112" s="62"/>
      <c r="BG112" s="62"/>
      <c r="BH112" s="62"/>
      <c r="BI112" s="62"/>
      <c r="BJ112" s="62"/>
      <c r="BK112" s="62"/>
    </row>
    <row r="113" spans="1:63" x14ac:dyDescent="0.3">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c r="AA113" s="62"/>
      <c r="AB113" s="62"/>
      <c r="AC113" s="62"/>
      <c r="AD113" s="62"/>
      <c r="AE113" s="62"/>
      <c r="AF113" s="62"/>
      <c r="AG113" s="62"/>
      <c r="AH113" s="62"/>
      <c r="AI113" s="62"/>
      <c r="AJ113" s="62"/>
      <c r="AK113" s="62"/>
      <c r="AL113" s="62"/>
      <c r="AM113" s="62"/>
      <c r="AN113" s="62"/>
      <c r="AO113" s="62"/>
      <c r="AP113" s="62"/>
      <c r="AQ113" s="62"/>
      <c r="AR113" s="62"/>
      <c r="AS113" s="62"/>
      <c r="AT113" s="62"/>
      <c r="AU113" s="62"/>
      <c r="AV113" s="62"/>
      <c r="AW113" s="62"/>
      <c r="AX113" s="62"/>
      <c r="AY113" s="62"/>
      <c r="AZ113" s="62"/>
      <c r="BA113" s="62"/>
      <c r="BB113" s="62"/>
      <c r="BC113" s="62"/>
      <c r="BD113" s="62"/>
      <c r="BE113" s="62"/>
      <c r="BF113" s="62"/>
      <c r="BG113" s="62"/>
      <c r="BH113" s="62"/>
      <c r="BI113" s="62"/>
      <c r="BJ113" s="62"/>
      <c r="BK113" s="62"/>
    </row>
    <row r="114" spans="1:63" x14ac:dyDescent="0.3">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c r="AA114" s="62"/>
      <c r="AB114" s="62"/>
      <c r="AC114" s="62"/>
      <c r="AD114" s="62"/>
      <c r="AE114" s="62"/>
      <c r="AF114" s="62"/>
      <c r="AG114" s="62"/>
      <c r="AH114" s="62"/>
      <c r="AI114" s="62"/>
      <c r="AJ114" s="62"/>
      <c r="AK114" s="62"/>
      <c r="AL114" s="62"/>
      <c r="AM114" s="62"/>
      <c r="AN114" s="62"/>
      <c r="AO114" s="62"/>
      <c r="AP114" s="62"/>
      <c r="AQ114" s="62"/>
      <c r="AR114" s="62"/>
      <c r="AS114" s="62"/>
      <c r="AT114" s="62"/>
      <c r="AU114" s="62"/>
      <c r="AV114" s="62"/>
      <c r="AW114" s="62"/>
      <c r="AX114" s="62"/>
      <c r="AY114" s="62"/>
      <c r="AZ114" s="62"/>
      <c r="BA114" s="62"/>
      <c r="BB114" s="62"/>
      <c r="BC114" s="62"/>
      <c r="BD114" s="62"/>
      <c r="BE114" s="62"/>
      <c r="BF114" s="62"/>
      <c r="BG114" s="62"/>
      <c r="BH114" s="62"/>
      <c r="BI114" s="62"/>
      <c r="BJ114" s="62"/>
      <c r="BK114" s="62"/>
    </row>
    <row r="115" spans="1:63" x14ac:dyDescent="0.3">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c r="AA115" s="62"/>
      <c r="AB115" s="62"/>
      <c r="AC115" s="62"/>
      <c r="AD115" s="62"/>
      <c r="AE115" s="62"/>
      <c r="AF115" s="62"/>
      <c r="AG115" s="62"/>
      <c r="AH115" s="62"/>
      <c r="AI115" s="62"/>
      <c r="AJ115" s="62"/>
      <c r="AK115" s="62"/>
      <c r="AL115" s="62"/>
      <c r="AM115" s="62"/>
      <c r="AN115" s="62"/>
      <c r="AO115" s="62"/>
      <c r="AP115" s="62"/>
      <c r="AQ115" s="62"/>
      <c r="AR115" s="62"/>
      <c r="AS115" s="62"/>
      <c r="AT115" s="62"/>
      <c r="AU115" s="62"/>
      <c r="AV115" s="62"/>
      <c r="AW115" s="62"/>
      <c r="AX115" s="62"/>
      <c r="AY115" s="62"/>
      <c r="AZ115" s="62"/>
      <c r="BA115" s="62"/>
      <c r="BB115" s="62"/>
      <c r="BC115" s="62"/>
      <c r="BD115" s="62"/>
      <c r="BE115" s="62"/>
      <c r="BF115" s="62"/>
      <c r="BG115" s="62"/>
      <c r="BH115" s="62"/>
      <c r="BI115" s="62"/>
      <c r="BJ115" s="62"/>
      <c r="BK115" s="62"/>
    </row>
    <row r="116" spans="1:63" x14ac:dyDescent="0.3">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c r="AA116" s="62"/>
      <c r="AB116" s="62"/>
      <c r="AC116" s="62"/>
      <c r="AD116" s="62"/>
      <c r="AE116" s="62"/>
      <c r="AF116" s="62"/>
      <c r="AG116" s="62"/>
      <c r="AH116" s="62"/>
      <c r="AI116" s="62"/>
      <c r="AJ116" s="62"/>
      <c r="AK116" s="62"/>
      <c r="AL116" s="62"/>
      <c r="AM116" s="62"/>
      <c r="AN116" s="62"/>
      <c r="AO116" s="62"/>
      <c r="AP116" s="62"/>
      <c r="AQ116" s="62"/>
      <c r="AR116" s="62"/>
      <c r="AS116" s="62"/>
      <c r="AT116" s="62"/>
      <c r="AU116" s="62"/>
      <c r="AV116" s="62"/>
      <c r="AW116" s="62"/>
      <c r="AX116" s="62"/>
      <c r="AY116" s="62"/>
      <c r="AZ116" s="62"/>
      <c r="BA116" s="62"/>
      <c r="BB116" s="62"/>
      <c r="BC116" s="62"/>
      <c r="BD116" s="62"/>
      <c r="BE116" s="62"/>
      <c r="BF116" s="62"/>
      <c r="BG116" s="62"/>
      <c r="BH116" s="62"/>
      <c r="BI116" s="62"/>
      <c r="BJ116" s="62"/>
      <c r="BK116" s="62"/>
    </row>
    <row r="117" spans="1:63" x14ac:dyDescent="0.3">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c r="AA117" s="62"/>
      <c r="AB117" s="62"/>
      <c r="AC117" s="62"/>
      <c r="AD117" s="62"/>
      <c r="AE117" s="62"/>
      <c r="AF117" s="62"/>
      <c r="AG117" s="62"/>
      <c r="AH117" s="62"/>
      <c r="AI117" s="62"/>
      <c r="AJ117" s="62"/>
      <c r="AK117" s="62"/>
      <c r="AL117" s="62"/>
      <c r="AM117" s="62"/>
      <c r="AN117" s="62"/>
      <c r="AO117" s="62"/>
      <c r="AP117" s="62"/>
      <c r="AQ117" s="62"/>
      <c r="AR117" s="62"/>
      <c r="AS117" s="62"/>
      <c r="AT117" s="62"/>
      <c r="AU117" s="62"/>
      <c r="AV117" s="62"/>
      <c r="AW117" s="62"/>
      <c r="AX117" s="62"/>
      <c r="AY117" s="62"/>
      <c r="AZ117" s="62"/>
      <c r="BA117" s="62"/>
      <c r="BB117" s="62"/>
      <c r="BC117" s="62"/>
      <c r="BD117" s="62"/>
      <c r="BE117" s="62"/>
      <c r="BF117" s="62"/>
      <c r="BG117" s="62"/>
      <c r="BH117" s="62"/>
      <c r="BI117" s="62"/>
      <c r="BJ117" s="62"/>
      <c r="BK117" s="62"/>
    </row>
    <row r="118" spans="1:63" x14ac:dyDescent="0.3">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c r="AA118" s="62"/>
      <c r="AB118" s="62"/>
      <c r="AC118" s="62"/>
      <c r="AD118" s="62"/>
      <c r="AE118" s="62"/>
      <c r="AF118" s="62"/>
      <c r="AG118" s="62"/>
      <c r="AH118" s="62"/>
      <c r="AI118" s="62"/>
      <c r="AJ118" s="62"/>
      <c r="AK118" s="62"/>
      <c r="AL118" s="62"/>
      <c r="AM118" s="62"/>
      <c r="AN118" s="62"/>
      <c r="AO118" s="62"/>
      <c r="AP118" s="62"/>
      <c r="AQ118" s="62"/>
      <c r="AR118" s="62"/>
      <c r="AS118" s="62"/>
      <c r="AT118" s="62"/>
      <c r="AU118" s="62"/>
      <c r="AV118" s="62"/>
      <c r="AW118" s="62"/>
      <c r="AX118" s="62"/>
      <c r="AY118" s="62"/>
      <c r="AZ118" s="62"/>
      <c r="BA118" s="62"/>
      <c r="BB118" s="62"/>
      <c r="BC118" s="62"/>
      <c r="BD118" s="62"/>
      <c r="BE118" s="62"/>
      <c r="BF118" s="62"/>
      <c r="BG118" s="62"/>
      <c r="BH118" s="62"/>
      <c r="BI118" s="62"/>
      <c r="BJ118" s="62"/>
      <c r="BK118" s="62"/>
    </row>
    <row r="119" spans="1:63" x14ac:dyDescent="0.3">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c r="AA119" s="62"/>
      <c r="AB119" s="62"/>
      <c r="AC119" s="62"/>
      <c r="AD119" s="62"/>
      <c r="AE119" s="62"/>
      <c r="AF119" s="62"/>
      <c r="AG119" s="62"/>
      <c r="AH119" s="62"/>
      <c r="AI119" s="62"/>
      <c r="AJ119" s="62"/>
      <c r="AK119" s="62"/>
      <c r="AL119" s="62"/>
      <c r="AM119" s="62"/>
      <c r="AN119" s="62"/>
      <c r="AO119" s="62"/>
      <c r="AP119" s="62"/>
      <c r="AQ119" s="62"/>
      <c r="AR119" s="62"/>
      <c r="AS119" s="62"/>
      <c r="AT119" s="62"/>
      <c r="AU119" s="62"/>
      <c r="AV119" s="62"/>
      <c r="AW119" s="62"/>
      <c r="AX119" s="62"/>
      <c r="AY119" s="62"/>
      <c r="AZ119" s="62"/>
      <c r="BA119" s="62"/>
      <c r="BB119" s="62"/>
      <c r="BC119" s="62"/>
      <c r="BD119" s="62"/>
      <c r="BE119" s="62"/>
      <c r="BF119" s="62"/>
      <c r="BG119" s="62"/>
      <c r="BH119" s="62"/>
      <c r="BI119" s="62"/>
      <c r="BJ119" s="62"/>
      <c r="BK119" s="62"/>
    </row>
    <row r="120" spans="1:63" x14ac:dyDescent="0.3">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c r="AA120" s="62"/>
      <c r="AB120" s="62"/>
      <c r="AC120" s="62"/>
      <c r="AD120" s="62"/>
      <c r="AE120" s="62"/>
      <c r="AF120" s="62"/>
      <c r="AG120" s="62"/>
      <c r="AH120" s="62"/>
      <c r="AI120" s="62"/>
      <c r="AJ120" s="62"/>
      <c r="AK120" s="62"/>
      <c r="AL120" s="62"/>
      <c r="AM120" s="62"/>
      <c r="AN120" s="62"/>
      <c r="AO120" s="62"/>
      <c r="AP120" s="62"/>
      <c r="AQ120" s="62"/>
      <c r="AR120" s="62"/>
      <c r="AS120" s="62"/>
      <c r="AT120" s="62"/>
      <c r="AU120" s="62"/>
      <c r="AV120" s="62"/>
      <c r="AW120" s="62"/>
      <c r="AX120" s="62"/>
      <c r="AY120" s="62"/>
      <c r="AZ120" s="62"/>
      <c r="BA120" s="62"/>
      <c r="BB120" s="62"/>
      <c r="BC120" s="62"/>
      <c r="BD120" s="62"/>
      <c r="BE120" s="62"/>
      <c r="BF120" s="62"/>
      <c r="BG120" s="62"/>
      <c r="BH120" s="62"/>
      <c r="BI120" s="62"/>
      <c r="BJ120" s="62"/>
      <c r="BK120" s="62"/>
    </row>
    <row r="121" spans="1:63" x14ac:dyDescent="0.3">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row>
    <row r="122" spans="1:63" x14ac:dyDescent="0.3">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c r="AA122" s="62"/>
      <c r="AB122" s="62"/>
      <c r="AC122" s="62"/>
      <c r="AD122" s="62"/>
      <c r="AE122" s="62"/>
      <c r="AF122" s="62"/>
      <c r="AG122" s="62"/>
      <c r="AH122" s="62"/>
      <c r="AI122" s="62"/>
      <c r="AJ122" s="62"/>
      <c r="AK122" s="62"/>
      <c r="AL122" s="62"/>
      <c r="AM122" s="62"/>
      <c r="AN122" s="62"/>
      <c r="AO122" s="62"/>
      <c r="AP122" s="62"/>
      <c r="AQ122" s="62"/>
      <c r="AR122" s="62"/>
      <c r="AS122" s="62"/>
      <c r="AT122" s="62"/>
      <c r="AU122" s="62"/>
      <c r="AV122" s="62"/>
      <c r="AW122" s="62"/>
      <c r="AX122" s="62"/>
      <c r="AY122" s="62"/>
      <c r="AZ122" s="62"/>
      <c r="BA122" s="62"/>
      <c r="BB122" s="62"/>
      <c r="BC122" s="62"/>
      <c r="BD122" s="62"/>
      <c r="BE122" s="62"/>
      <c r="BF122" s="62"/>
      <c r="BG122" s="62"/>
      <c r="BH122" s="62"/>
      <c r="BI122" s="62"/>
      <c r="BJ122" s="62"/>
      <c r="BK122" s="62"/>
    </row>
    <row r="123" spans="1:63" x14ac:dyDescent="0.3">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c r="AA123" s="62"/>
      <c r="AB123" s="62"/>
      <c r="AC123" s="62"/>
      <c r="AD123" s="62"/>
      <c r="AE123" s="62"/>
      <c r="AF123" s="62"/>
      <c r="AG123" s="62"/>
      <c r="AH123" s="62"/>
      <c r="AI123" s="62"/>
      <c r="AJ123" s="62"/>
      <c r="AK123" s="62"/>
      <c r="AL123" s="62"/>
      <c r="AM123" s="62"/>
      <c r="AN123" s="62"/>
      <c r="AO123" s="62"/>
      <c r="AP123" s="62"/>
      <c r="AQ123" s="62"/>
      <c r="AR123" s="62"/>
      <c r="AS123" s="62"/>
      <c r="AT123" s="62"/>
      <c r="AU123" s="62"/>
      <c r="AV123" s="62"/>
      <c r="AW123" s="62"/>
      <c r="AX123" s="62"/>
      <c r="AY123" s="62"/>
      <c r="AZ123" s="62"/>
      <c r="BA123" s="62"/>
      <c r="BB123" s="62"/>
      <c r="BC123" s="62"/>
      <c r="BD123" s="62"/>
      <c r="BE123" s="62"/>
      <c r="BF123" s="62"/>
      <c r="BG123" s="62"/>
      <c r="BH123" s="62"/>
      <c r="BI123" s="62"/>
      <c r="BJ123" s="62"/>
      <c r="BK123" s="62"/>
    </row>
    <row r="124" spans="1:63" x14ac:dyDescent="0.3">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c r="AA124" s="62"/>
      <c r="AB124" s="62"/>
      <c r="AC124" s="62"/>
      <c r="AD124" s="62"/>
      <c r="AE124" s="62"/>
      <c r="AF124" s="62"/>
      <c r="AG124" s="62"/>
      <c r="AH124" s="62"/>
      <c r="AI124" s="62"/>
      <c r="AJ124" s="62"/>
      <c r="AK124" s="62"/>
      <c r="AL124" s="62"/>
      <c r="AM124" s="62"/>
      <c r="AN124" s="62"/>
      <c r="AO124" s="62"/>
      <c r="AP124" s="62"/>
      <c r="AQ124" s="62"/>
      <c r="AR124" s="62"/>
      <c r="AS124" s="62"/>
      <c r="AT124" s="62"/>
      <c r="AU124" s="62"/>
      <c r="AV124" s="62"/>
      <c r="AW124" s="62"/>
      <c r="AX124" s="62"/>
      <c r="AY124" s="62"/>
      <c r="AZ124" s="62"/>
      <c r="BA124" s="62"/>
      <c r="BB124" s="62"/>
      <c r="BC124" s="62"/>
      <c r="BD124" s="62"/>
      <c r="BE124" s="62"/>
      <c r="BF124" s="62"/>
      <c r="BG124" s="62"/>
      <c r="BH124" s="62"/>
      <c r="BI124" s="62"/>
      <c r="BJ124" s="62"/>
      <c r="BK124" s="62"/>
    </row>
    <row r="125" spans="1:63" x14ac:dyDescent="0.3">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c r="AA125" s="62"/>
      <c r="AB125" s="62"/>
      <c r="AC125" s="62"/>
      <c r="AD125" s="62"/>
      <c r="AE125" s="62"/>
      <c r="AF125" s="62"/>
      <c r="AG125" s="62"/>
      <c r="AH125" s="62"/>
      <c r="AI125" s="62"/>
      <c r="AJ125" s="62"/>
      <c r="AK125" s="62"/>
      <c r="AL125" s="62"/>
      <c r="AM125" s="62"/>
      <c r="AN125" s="62"/>
      <c r="AO125" s="62"/>
      <c r="AP125" s="62"/>
      <c r="AQ125" s="62"/>
      <c r="AR125" s="62"/>
      <c r="AS125" s="62"/>
      <c r="AT125" s="62"/>
      <c r="AU125" s="62"/>
      <c r="AV125" s="62"/>
      <c r="AW125" s="62"/>
      <c r="AX125" s="62"/>
      <c r="AY125" s="62"/>
      <c r="AZ125" s="62"/>
      <c r="BA125" s="62"/>
      <c r="BB125" s="62"/>
      <c r="BC125" s="62"/>
      <c r="BD125" s="62"/>
      <c r="BE125" s="62"/>
      <c r="BF125" s="62"/>
      <c r="BG125" s="62"/>
      <c r="BH125" s="62"/>
      <c r="BI125" s="62"/>
      <c r="BJ125" s="62"/>
      <c r="BK125" s="62"/>
    </row>
    <row r="126" spans="1:63" x14ac:dyDescent="0.3">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c r="AA126" s="62"/>
      <c r="AB126" s="62"/>
      <c r="AC126" s="62"/>
      <c r="AD126" s="62"/>
      <c r="AE126" s="62"/>
      <c r="AF126" s="62"/>
      <c r="AG126" s="62"/>
      <c r="AH126" s="62"/>
      <c r="AI126" s="62"/>
      <c r="AJ126" s="62"/>
      <c r="AK126" s="62"/>
      <c r="AL126" s="62"/>
      <c r="AM126" s="62"/>
      <c r="AN126" s="62"/>
      <c r="AO126" s="62"/>
      <c r="AP126" s="62"/>
      <c r="AQ126" s="62"/>
      <c r="AR126" s="62"/>
      <c r="AS126" s="62"/>
      <c r="AT126" s="62"/>
      <c r="AU126" s="62"/>
      <c r="AV126" s="62"/>
      <c r="AW126" s="62"/>
      <c r="AX126" s="62"/>
      <c r="AY126" s="62"/>
      <c r="AZ126" s="62"/>
      <c r="BA126" s="62"/>
      <c r="BB126" s="62"/>
      <c r="BC126" s="62"/>
      <c r="BD126" s="62"/>
      <c r="BE126" s="62"/>
      <c r="BF126" s="62"/>
      <c r="BG126" s="62"/>
      <c r="BH126" s="62"/>
      <c r="BI126" s="62"/>
      <c r="BJ126" s="62"/>
      <c r="BK126" s="62"/>
    </row>
    <row r="127" spans="1:63" x14ac:dyDescent="0.3">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c r="AA127" s="62"/>
      <c r="AB127" s="62"/>
      <c r="AC127" s="62"/>
      <c r="AD127" s="62"/>
      <c r="AE127" s="62"/>
      <c r="AF127" s="62"/>
      <c r="AG127" s="62"/>
      <c r="AH127" s="62"/>
      <c r="AI127" s="62"/>
      <c r="AJ127" s="62"/>
      <c r="AK127" s="62"/>
      <c r="AL127" s="62"/>
      <c r="AM127" s="62"/>
      <c r="AN127" s="62"/>
      <c r="AO127" s="62"/>
      <c r="AP127" s="62"/>
      <c r="AQ127" s="62"/>
      <c r="AR127" s="62"/>
      <c r="AS127" s="62"/>
      <c r="AT127" s="62"/>
      <c r="AU127" s="62"/>
      <c r="AV127" s="62"/>
      <c r="AW127" s="62"/>
      <c r="AX127" s="62"/>
      <c r="AY127" s="62"/>
      <c r="AZ127" s="62"/>
      <c r="BA127" s="62"/>
      <c r="BB127" s="62"/>
      <c r="BC127" s="62"/>
      <c r="BD127" s="62"/>
      <c r="BE127" s="62"/>
      <c r="BF127" s="62"/>
      <c r="BG127" s="62"/>
      <c r="BH127" s="62"/>
      <c r="BI127" s="62"/>
      <c r="BJ127" s="62"/>
      <c r="BK127" s="62"/>
    </row>
    <row r="128" spans="1:63" x14ac:dyDescent="0.3">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c r="AA128" s="62"/>
      <c r="AB128" s="62"/>
      <c r="AC128" s="62"/>
      <c r="AD128" s="62"/>
      <c r="AE128" s="62"/>
      <c r="AF128" s="62"/>
      <c r="AG128" s="62"/>
      <c r="AH128" s="62"/>
      <c r="AI128" s="62"/>
      <c r="AJ128" s="62"/>
      <c r="AK128" s="62"/>
      <c r="AL128" s="62"/>
      <c r="AM128" s="62"/>
      <c r="AN128" s="62"/>
      <c r="AO128" s="62"/>
      <c r="AP128" s="62"/>
      <c r="AQ128" s="62"/>
      <c r="AR128" s="62"/>
      <c r="AS128" s="62"/>
      <c r="AT128" s="62"/>
      <c r="AU128" s="62"/>
      <c r="AV128" s="62"/>
      <c r="AW128" s="62"/>
      <c r="AX128" s="62"/>
      <c r="AY128" s="62"/>
      <c r="AZ128" s="62"/>
      <c r="BA128" s="62"/>
      <c r="BB128" s="62"/>
      <c r="BC128" s="62"/>
      <c r="BD128" s="62"/>
      <c r="BE128" s="62"/>
      <c r="BF128" s="62"/>
      <c r="BG128" s="62"/>
      <c r="BH128" s="62"/>
      <c r="BI128" s="62"/>
      <c r="BJ128" s="62"/>
      <c r="BK128" s="62"/>
    </row>
    <row r="129" spans="1:63" x14ac:dyDescent="0.3">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c r="AA129" s="62"/>
      <c r="AB129" s="62"/>
      <c r="AC129" s="62"/>
      <c r="AD129" s="62"/>
      <c r="AE129" s="62"/>
      <c r="AF129" s="62"/>
      <c r="AG129" s="62"/>
      <c r="AH129" s="62"/>
      <c r="AI129" s="62"/>
      <c r="AJ129" s="62"/>
      <c r="AK129" s="62"/>
      <c r="AL129" s="62"/>
      <c r="AM129" s="62"/>
      <c r="AN129" s="62"/>
      <c r="AO129" s="62"/>
      <c r="AP129" s="62"/>
      <c r="AQ129" s="62"/>
      <c r="AR129" s="62"/>
      <c r="AS129" s="62"/>
      <c r="AT129" s="62"/>
      <c r="AU129" s="62"/>
      <c r="AV129" s="62"/>
      <c r="AW129" s="62"/>
      <c r="AX129" s="62"/>
      <c r="AY129" s="62"/>
      <c r="AZ129" s="62"/>
      <c r="BA129" s="62"/>
      <c r="BB129" s="62"/>
      <c r="BC129" s="62"/>
      <c r="BD129" s="62"/>
      <c r="BE129" s="62"/>
      <c r="BF129" s="62"/>
      <c r="BG129" s="62"/>
      <c r="BH129" s="62"/>
      <c r="BI129" s="62"/>
      <c r="BJ129" s="62"/>
      <c r="BK129" s="62"/>
    </row>
    <row r="130" spans="1:63" x14ac:dyDescent="0.3">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c r="AA130" s="62"/>
      <c r="AB130" s="62"/>
      <c r="AC130" s="62"/>
      <c r="AD130" s="62"/>
      <c r="AE130" s="62"/>
      <c r="AF130" s="62"/>
      <c r="AG130" s="62"/>
      <c r="AH130" s="62"/>
      <c r="AI130" s="62"/>
      <c r="AJ130" s="62"/>
      <c r="AK130" s="62"/>
      <c r="AL130" s="62"/>
      <c r="AM130" s="62"/>
      <c r="AN130" s="62"/>
      <c r="AO130" s="62"/>
      <c r="AP130" s="62"/>
      <c r="AQ130" s="62"/>
      <c r="AR130" s="62"/>
      <c r="AS130" s="62"/>
      <c r="AT130" s="62"/>
      <c r="AU130" s="62"/>
      <c r="AV130" s="62"/>
      <c r="AW130" s="62"/>
      <c r="AX130" s="62"/>
      <c r="AY130" s="62"/>
      <c r="AZ130" s="62"/>
      <c r="BA130" s="62"/>
      <c r="BB130" s="62"/>
      <c r="BC130" s="62"/>
      <c r="BD130" s="62"/>
      <c r="BE130" s="62"/>
      <c r="BF130" s="62"/>
      <c r="BG130" s="62"/>
      <c r="BH130" s="62"/>
      <c r="BI130" s="62"/>
      <c r="BJ130" s="62"/>
      <c r="BK130" s="62"/>
    </row>
    <row r="131" spans="1:63" x14ac:dyDescent="0.3">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c r="AA131" s="62"/>
      <c r="AB131" s="62"/>
      <c r="AC131" s="62"/>
      <c r="AD131" s="62"/>
      <c r="AE131" s="62"/>
      <c r="AF131" s="62"/>
      <c r="AG131" s="62"/>
      <c r="AH131" s="62"/>
      <c r="AI131" s="62"/>
      <c r="AJ131" s="62"/>
      <c r="AK131" s="62"/>
      <c r="AL131" s="62"/>
      <c r="AM131" s="62"/>
      <c r="AN131" s="62"/>
      <c r="AO131" s="62"/>
      <c r="AP131" s="62"/>
      <c r="AQ131" s="62"/>
      <c r="AR131" s="62"/>
      <c r="AS131" s="62"/>
      <c r="AT131" s="62"/>
      <c r="AU131" s="62"/>
      <c r="AV131" s="62"/>
      <c r="AW131" s="62"/>
      <c r="AX131" s="62"/>
      <c r="AY131" s="62"/>
      <c r="AZ131" s="62"/>
      <c r="BA131" s="62"/>
      <c r="BB131" s="62"/>
      <c r="BC131" s="62"/>
      <c r="BD131" s="62"/>
      <c r="BE131" s="62"/>
      <c r="BF131" s="62"/>
      <c r="BG131" s="62"/>
      <c r="BH131" s="62"/>
      <c r="BI131" s="62"/>
      <c r="BJ131" s="62"/>
      <c r="BK131" s="62"/>
    </row>
    <row r="132" spans="1:63" x14ac:dyDescent="0.3">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c r="AA132" s="62"/>
      <c r="AB132" s="62"/>
      <c r="AC132" s="62"/>
      <c r="AD132" s="62"/>
      <c r="AE132" s="62"/>
      <c r="AF132" s="62"/>
      <c r="AG132" s="62"/>
      <c r="AH132" s="62"/>
      <c r="AI132" s="62"/>
      <c r="AJ132" s="62"/>
      <c r="AK132" s="62"/>
      <c r="AL132" s="62"/>
      <c r="AM132" s="62"/>
      <c r="AN132" s="62"/>
      <c r="AO132" s="62"/>
      <c r="AP132" s="62"/>
      <c r="AQ132" s="62"/>
      <c r="AR132" s="62"/>
      <c r="AS132" s="62"/>
      <c r="AT132" s="62"/>
      <c r="AU132" s="62"/>
      <c r="AV132" s="62"/>
      <c r="AW132" s="62"/>
      <c r="AX132" s="62"/>
      <c r="AY132" s="62"/>
      <c r="AZ132" s="62"/>
      <c r="BA132" s="62"/>
      <c r="BB132" s="62"/>
      <c r="BC132" s="62"/>
      <c r="BD132" s="62"/>
      <c r="BE132" s="62"/>
      <c r="BF132" s="62"/>
      <c r="BG132" s="62"/>
      <c r="BH132" s="62"/>
      <c r="BI132" s="62"/>
      <c r="BJ132" s="62"/>
      <c r="BK132" s="62"/>
    </row>
    <row r="133" spans="1:63" x14ac:dyDescent="0.3">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row>
    <row r="134" spans="1:63" x14ac:dyDescent="0.3">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c r="AA134" s="62"/>
      <c r="AB134" s="62"/>
      <c r="AC134" s="62"/>
      <c r="AD134" s="62"/>
      <c r="AE134" s="62"/>
      <c r="AF134" s="62"/>
      <c r="AG134" s="62"/>
      <c r="AH134" s="62"/>
      <c r="AI134" s="62"/>
      <c r="AJ134" s="62"/>
      <c r="AK134" s="62"/>
      <c r="AL134" s="62"/>
      <c r="AM134" s="62"/>
      <c r="AN134" s="62"/>
      <c r="AO134" s="62"/>
      <c r="AP134" s="62"/>
      <c r="AQ134" s="62"/>
      <c r="AR134" s="62"/>
      <c r="AS134" s="62"/>
      <c r="AT134" s="62"/>
      <c r="AU134" s="62"/>
      <c r="AV134" s="62"/>
      <c r="AW134" s="62"/>
      <c r="AX134" s="62"/>
      <c r="AY134" s="62"/>
      <c r="AZ134" s="62"/>
      <c r="BA134" s="62"/>
      <c r="BB134" s="62"/>
      <c r="BC134" s="62"/>
      <c r="BD134" s="62"/>
      <c r="BE134" s="62"/>
      <c r="BF134" s="62"/>
      <c r="BG134" s="62"/>
      <c r="BH134" s="62"/>
      <c r="BI134" s="62"/>
      <c r="BJ134" s="62"/>
      <c r="BK134" s="62"/>
    </row>
    <row r="135" spans="1:63" x14ac:dyDescent="0.3">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c r="AA135" s="62"/>
      <c r="AB135" s="62"/>
      <c r="AC135" s="62"/>
      <c r="AD135" s="62"/>
      <c r="AE135" s="62"/>
      <c r="AF135" s="62"/>
      <c r="AG135" s="62"/>
      <c r="AH135" s="62"/>
      <c r="AI135" s="62"/>
      <c r="AJ135" s="62"/>
      <c r="AK135" s="62"/>
      <c r="AL135" s="62"/>
      <c r="AM135" s="62"/>
      <c r="AN135" s="62"/>
      <c r="AO135" s="62"/>
      <c r="AP135" s="62"/>
      <c r="AQ135" s="62"/>
      <c r="AR135" s="62"/>
      <c r="AS135" s="62"/>
      <c r="AT135" s="62"/>
      <c r="AU135" s="62"/>
      <c r="AV135" s="62"/>
      <c r="AW135" s="62"/>
      <c r="AX135" s="62"/>
      <c r="AY135" s="62"/>
      <c r="AZ135" s="62"/>
      <c r="BA135" s="62"/>
      <c r="BB135" s="62"/>
      <c r="BC135" s="62"/>
      <c r="BD135" s="62"/>
      <c r="BE135" s="62"/>
      <c r="BF135" s="62"/>
      <c r="BG135" s="62"/>
      <c r="BH135" s="62"/>
      <c r="BI135" s="62"/>
      <c r="BJ135" s="62"/>
      <c r="BK135" s="62"/>
    </row>
    <row r="136" spans="1:63" x14ac:dyDescent="0.3">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c r="AA136" s="62"/>
      <c r="AB136" s="62"/>
      <c r="AC136" s="62"/>
      <c r="AD136" s="62"/>
      <c r="AE136" s="62"/>
      <c r="AF136" s="62"/>
      <c r="AG136" s="62"/>
      <c r="AH136" s="62"/>
      <c r="AI136" s="62"/>
      <c r="AJ136" s="62"/>
      <c r="AK136" s="62"/>
      <c r="AL136" s="62"/>
      <c r="AM136" s="62"/>
      <c r="AN136" s="62"/>
      <c r="AO136" s="62"/>
      <c r="AP136" s="62"/>
      <c r="AQ136" s="62"/>
      <c r="AR136" s="62"/>
      <c r="AS136" s="62"/>
      <c r="AT136" s="62"/>
      <c r="AU136" s="62"/>
      <c r="AV136" s="62"/>
      <c r="AW136" s="62"/>
      <c r="AX136" s="62"/>
      <c r="AY136" s="62"/>
      <c r="AZ136" s="62"/>
      <c r="BA136" s="62"/>
      <c r="BB136" s="62"/>
      <c r="BC136" s="62"/>
      <c r="BD136" s="62"/>
      <c r="BE136" s="62"/>
      <c r="BF136" s="62"/>
      <c r="BG136" s="62"/>
      <c r="BH136" s="62"/>
      <c r="BI136" s="62"/>
      <c r="BJ136" s="62"/>
      <c r="BK136" s="62"/>
    </row>
    <row r="137" spans="1:63" x14ac:dyDescent="0.3">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c r="AA137" s="62"/>
      <c r="AB137" s="62"/>
      <c r="AC137" s="62"/>
      <c r="AD137" s="62"/>
      <c r="AE137" s="62"/>
      <c r="AF137" s="62"/>
      <c r="AG137" s="62"/>
      <c r="AH137" s="62"/>
      <c r="AI137" s="62"/>
      <c r="AJ137" s="62"/>
      <c r="AK137" s="62"/>
      <c r="AL137" s="62"/>
      <c r="AM137" s="62"/>
      <c r="AN137" s="62"/>
      <c r="AO137" s="62"/>
      <c r="AP137" s="62"/>
      <c r="AQ137" s="62"/>
      <c r="AR137" s="62"/>
      <c r="AS137" s="62"/>
      <c r="AT137" s="62"/>
      <c r="AU137" s="62"/>
      <c r="AV137" s="62"/>
      <c r="AW137" s="62"/>
      <c r="AX137" s="62"/>
      <c r="AY137" s="62"/>
      <c r="AZ137" s="62"/>
      <c r="BA137" s="62"/>
      <c r="BB137" s="62"/>
      <c r="BC137" s="62"/>
      <c r="BD137" s="62"/>
      <c r="BE137" s="62"/>
      <c r="BF137" s="62"/>
      <c r="BG137" s="62"/>
      <c r="BH137" s="62"/>
      <c r="BI137" s="62"/>
      <c r="BJ137" s="62"/>
      <c r="BK137" s="62"/>
    </row>
    <row r="138" spans="1:63" x14ac:dyDescent="0.3">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c r="AA138" s="62"/>
      <c r="AB138" s="62"/>
      <c r="AC138" s="62"/>
      <c r="AD138" s="62"/>
      <c r="AE138" s="62"/>
      <c r="AF138" s="62"/>
      <c r="AG138" s="62"/>
      <c r="AH138" s="62"/>
      <c r="AI138" s="62"/>
      <c r="AJ138" s="62"/>
      <c r="AK138" s="62"/>
      <c r="AL138" s="62"/>
      <c r="AM138" s="62"/>
      <c r="AN138" s="62"/>
      <c r="AO138" s="62"/>
      <c r="AP138" s="62"/>
      <c r="AQ138" s="62"/>
      <c r="AR138" s="62"/>
      <c r="AS138" s="62"/>
      <c r="AT138" s="62"/>
      <c r="AU138" s="62"/>
      <c r="AV138" s="62"/>
      <c r="AW138" s="62"/>
      <c r="AX138" s="62"/>
      <c r="AY138" s="62"/>
      <c r="AZ138" s="62"/>
      <c r="BA138" s="62"/>
      <c r="BB138" s="62"/>
      <c r="BC138" s="62"/>
      <c r="BD138" s="62"/>
      <c r="BE138" s="62"/>
      <c r="BF138" s="62"/>
      <c r="BG138" s="62"/>
      <c r="BH138" s="62"/>
      <c r="BI138" s="62"/>
      <c r="BJ138" s="62"/>
      <c r="BK138" s="62"/>
    </row>
    <row r="139" spans="1:63" x14ac:dyDescent="0.3">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c r="AA139" s="62"/>
      <c r="AB139" s="62"/>
      <c r="AC139" s="62"/>
      <c r="AD139" s="62"/>
      <c r="AE139" s="62"/>
      <c r="AF139" s="62"/>
      <c r="AG139" s="62"/>
      <c r="AH139" s="62"/>
      <c r="AI139" s="62"/>
      <c r="AJ139" s="62"/>
      <c r="AK139" s="62"/>
      <c r="AL139" s="62"/>
      <c r="AM139" s="62"/>
      <c r="AN139" s="62"/>
      <c r="AO139" s="62"/>
      <c r="AP139" s="62"/>
      <c r="AQ139" s="62"/>
      <c r="AR139" s="62"/>
      <c r="AS139" s="62"/>
      <c r="AT139" s="62"/>
      <c r="AU139" s="62"/>
      <c r="AV139" s="62"/>
      <c r="AW139" s="62"/>
      <c r="AX139" s="62"/>
      <c r="AY139" s="62"/>
      <c r="AZ139" s="62"/>
      <c r="BA139" s="62"/>
      <c r="BB139" s="62"/>
      <c r="BC139" s="62"/>
      <c r="BD139" s="62"/>
      <c r="BE139" s="62"/>
      <c r="BF139" s="62"/>
      <c r="BG139" s="62"/>
      <c r="BH139" s="62"/>
      <c r="BI139" s="62"/>
      <c r="BJ139" s="62"/>
      <c r="BK139" s="62"/>
    </row>
    <row r="140" spans="1:63" x14ac:dyDescent="0.3">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c r="AA140" s="62"/>
      <c r="AB140" s="62"/>
      <c r="AC140" s="62"/>
      <c r="AD140" s="62"/>
      <c r="AE140" s="62"/>
      <c r="AF140" s="62"/>
      <c r="AG140" s="62"/>
      <c r="AH140" s="62"/>
      <c r="AI140" s="62"/>
      <c r="AJ140" s="62"/>
      <c r="AK140" s="62"/>
      <c r="AL140" s="62"/>
      <c r="AM140" s="62"/>
      <c r="AN140" s="62"/>
      <c r="AO140" s="62"/>
      <c r="AP140" s="62"/>
      <c r="AQ140" s="62"/>
      <c r="AR140" s="62"/>
      <c r="AS140" s="62"/>
      <c r="AT140" s="62"/>
      <c r="AU140" s="62"/>
      <c r="AV140" s="62"/>
      <c r="AW140" s="62"/>
      <c r="AX140" s="62"/>
      <c r="AY140" s="62"/>
      <c r="AZ140" s="62"/>
      <c r="BA140" s="62"/>
      <c r="BB140" s="62"/>
      <c r="BC140" s="62"/>
      <c r="BD140" s="62"/>
      <c r="BE140" s="62"/>
      <c r="BF140" s="62"/>
      <c r="BG140" s="62"/>
      <c r="BH140" s="62"/>
      <c r="BI140" s="62"/>
      <c r="BJ140" s="62"/>
      <c r="BK140" s="62"/>
    </row>
    <row r="141" spans="1:63" x14ac:dyDescent="0.3">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c r="AA141" s="62"/>
      <c r="AB141" s="62"/>
      <c r="AC141" s="62"/>
      <c r="AD141" s="62"/>
      <c r="AE141" s="62"/>
      <c r="AF141" s="62"/>
      <c r="AG141" s="62"/>
      <c r="AH141" s="62"/>
      <c r="AI141" s="62"/>
      <c r="AJ141" s="62"/>
      <c r="AK141" s="62"/>
      <c r="AL141" s="62"/>
      <c r="AM141" s="62"/>
      <c r="AN141" s="62"/>
      <c r="AO141" s="62"/>
      <c r="AP141" s="62"/>
      <c r="AQ141" s="62"/>
      <c r="AR141" s="62"/>
      <c r="AS141" s="62"/>
      <c r="AT141" s="62"/>
      <c r="AU141" s="62"/>
      <c r="AV141" s="62"/>
      <c r="AW141" s="62"/>
      <c r="AX141" s="62"/>
      <c r="AY141" s="62"/>
      <c r="AZ141" s="62"/>
      <c r="BA141" s="62"/>
      <c r="BB141" s="62"/>
      <c r="BC141" s="62"/>
      <c r="BD141" s="62"/>
      <c r="BE141" s="62"/>
      <c r="BF141" s="62"/>
      <c r="BG141" s="62"/>
      <c r="BH141" s="62"/>
      <c r="BI141" s="62"/>
      <c r="BJ141" s="62"/>
      <c r="BK141" s="62"/>
    </row>
    <row r="142" spans="1:63" x14ac:dyDescent="0.3">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c r="AA142" s="62"/>
      <c r="AB142" s="62"/>
      <c r="AC142" s="62"/>
      <c r="AD142" s="62"/>
      <c r="AE142" s="62"/>
      <c r="AF142" s="62"/>
      <c r="AG142" s="62"/>
      <c r="AH142" s="62"/>
      <c r="AI142" s="62"/>
      <c r="AJ142" s="62"/>
      <c r="AK142" s="62"/>
      <c r="AL142" s="62"/>
      <c r="AM142" s="62"/>
      <c r="AN142" s="62"/>
      <c r="AO142" s="62"/>
      <c r="AP142" s="62"/>
      <c r="AQ142" s="62"/>
      <c r="AR142" s="62"/>
      <c r="AS142" s="62"/>
      <c r="AT142" s="62"/>
      <c r="AU142" s="62"/>
      <c r="AV142" s="62"/>
      <c r="AW142" s="62"/>
      <c r="AX142" s="62"/>
      <c r="AY142" s="62"/>
      <c r="AZ142" s="62"/>
      <c r="BA142" s="62"/>
      <c r="BB142" s="62"/>
      <c r="BC142" s="62"/>
      <c r="BD142" s="62"/>
      <c r="BE142" s="62"/>
      <c r="BF142" s="62"/>
      <c r="BG142" s="62"/>
      <c r="BH142" s="62"/>
      <c r="BI142" s="62"/>
      <c r="BJ142" s="62"/>
      <c r="BK142" s="62"/>
    </row>
    <row r="143" spans="1:63" x14ac:dyDescent="0.3">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c r="AA143" s="62"/>
      <c r="AB143" s="62"/>
      <c r="AC143" s="62"/>
      <c r="AD143" s="62"/>
      <c r="AE143" s="62"/>
      <c r="AF143" s="62"/>
      <c r="AG143" s="62"/>
      <c r="AH143" s="62"/>
      <c r="AI143" s="62"/>
      <c r="AJ143" s="62"/>
      <c r="AK143" s="62"/>
      <c r="AL143" s="62"/>
      <c r="AM143" s="62"/>
      <c r="AN143" s="62"/>
      <c r="AO143" s="62"/>
      <c r="AP143" s="62"/>
      <c r="AQ143" s="62"/>
      <c r="AR143" s="62"/>
      <c r="AS143" s="62"/>
      <c r="AT143" s="62"/>
      <c r="AU143" s="62"/>
      <c r="AV143" s="62"/>
      <c r="AW143" s="62"/>
      <c r="AX143" s="62"/>
      <c r="AY143" s="62"/>
      <c r="AZ143" s="62"/>
      <c r="BA143" s="62"/>
      <c r="BB143" s="62"/>
      <c r="BC143" s="62"/>
      <c r="BD143" s="62"/>
      <c r="BE143" s="62"/>
      <c r="BF143" s="62"/>
      <c r="BG143" s="62"/>
      <c r="BH143" s="62"/>
      <c r="BI143" s="62"/>
      <c r="BJ143" s="62"/>
      <c r="BK143" s="62"/>
    </row>
    <row r="144" spans="1:63" x14ac:dyDescent="0.3">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c r="AA144" s="62"/>
      <c r="AB144" s="62"/>
      <c r="AC144" s="62"/>
      <c r="AD144" s="62"/>
      <c r="AE144" s="62"/>
      <c r="AF144" s="62"/>
      <c r="AG144" s="62"/>
      <c r="AH144" s="62"/>
      <c r="AI144" s="62"/>
      <c r="AJ144" s="62"/>
      <c r="AK144" s="62"/>
      <c r="AL144" s="62"/>
      <c r="AM144" s="62"/>
      <c r="AN144" s="62"/>
      <c r="AO144" s="62"/>
      <c r="AP144" s="62"/>
      <c r="AQ144" s="62"/>
      <c r="AR144" s="62"/>
      <c r="AS144" s="62"/>
      <c r="AT144" s="62"/>
      <c r="AU144" s="62"/>
      <c r="AV144" s="62"/>
      <c r="AW144" s="62"/>
      <c r="AX144" s="62"/>
      <c r="AY144" s="62"/>
      <c r="AZ144" s="62"/>
      <c r="BA144" s="62"/>
      <c r="BB144" s="62"/>
      <c r="BC144" s="62"/>
      <c r="BD144" s="62"/>
      <c r="BE144" s="62"/>
      <c r="BF144" s="62"/>
      <c r="BG144" s="62"/>
      <c r="BH144" s="62"/>
      <c r="BI144" s="62"/>
      <c r="BJ144" s="62"/>
      <c r="BK144" s="62"/>
    </row>
    <row r="145" spans="1:63" x14ac:dyDescent="0.3">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c r="AA145" s="62"/>
      <c r="AB145" s="62"/>
      <c r="AC145" s="62"/>
      <c r="AD145" s="62"/>
      <c r="AE145" s="62"/>
      <c r="AF145" s="62"/>
      <c r="AG145" s="62"/>
      <c r="AH145" s="62"/>
      <c r="AI145" s="62"/>
      <c r="AJ145" s="62"/>
      <c r="AK145" s="62"/>
      <c r="AL145" s="62"/>
      <c r="AM145" s="62"/>
      <c r="AN145" s="62"/>
      <c r="AO145" s="62"/>
      <c r="AP145" s="62"/>
      <c r="AQ145" s="62"/>
      <c r="AR145" s="62"/>
      <c r="AS145" s="62"/>
      <c r="AT145" s="62"/>
      <c r="AU145" s="62"/>
      <c r="AV145" s="62"/>
      <c r="AW145" s="62"/>
      <c r="AX145" s="62"/>
      <c r="AY145" s="62"/>
      <c r="AZ145" s="62"/>
      <c r="BA145" s="62"/>
      <c r="BB145" s="62"/>
      <c r="BC145" s="62"/>
      <c r="BD145" s="62"/>
      <c r="BE145" s="62"/>
      <c r="BF145" s="62"/>
      <c r="BG145" s="62"/>
      <c r="BH145" s="62"/>
      <c r="BI145" s="62"/>
      <c r="BJ145" s="62"/>
      <c r="BK145" s="62"/>
    </row>
    <row r="146" spans="1:63" x14ac:dyDescent="0.3">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c r="AA146" s="62"/>
      <c r="AB146" s="62"/>
      <c r="AC146" s="62"/>
      <c r="AD146" s="62"/>
      <c r="AE146" s="62"/>
      <c r="AF146" s="62"/>
      <c r="AG146" s="62"/>
      <c r="AH146" s="62"/>
      <c r="AI146" s="62"/>
      <c r="AJ146" s="62"/>
      <c r="AK146" s="62"/>
      <c r="AL146" s="62"/>
      <c r="AM146" s="62"/>
      <c r="AN146" s="62"/>
      <c r="AO146" s="62"/>
      <c r="AP146" s="62"/>
      <c r="AQ146" s="62"/>
      <c r="AR146" s="62"/>
      <c r="AS146" s="62"/>
      <c r="AT146" s="62"/>
      <c r="AU146" s="62"/>
      <c r="AV146" s="62"/>
      <c r="AW146" s="62"/>
      <c r="AX146" s="62"/>
      <c r="AY146" s="62"/>
      <c r="AZ146" s="62"/>
      <c r="BA146" s="62"/>
      <c r="BB146" s="62"/>
      <c r="BC146" s="62"/>
      <c r="BD146" s="62"/>
      <c r="BE146" s="62"/>
      <c r="BF146" s="62"/>
      <c r="BG146" s="62"/>
      <c r="BH146" s="62"/>
      <c r="BI146" s="62"/>
      <c r="BJ146" s="62"/>
      <c r="BK146" s="62"/>
    </row>
    <row r="147" spans="1:63" x14ac:dyDescent="0.3">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c r="AA147" s="62"/>
      <c r="AB147" s="62"/>
      <c r="AC147" s="62"/>
      <c r="AD147" s="62"/>
      <c r="AE147" s="62"/>
      <c r="AF147" s="62"/>
      <c r="AG147" s="62"/>
      <c r="AH147" s="62"/>
      <c r="AI147" s="62"/>
      <c r="AJ147" s="62"/>
      <c r="AK147" s="62"/>
      <c r="AL147" s="62"/>
      <c r="AM147" s="62"/>
      <c r="AN147" s="62"/>
      <c r="AO147" s="62"/>
      <c r="AP147" s="62"/>
      <c r="AQ147" s="62"/>
      <c r="AR147" s="62"/>
      <c r="AS147" s="62"/>
      <c r="AT147" s="62"/>
      <c r="AU147" s="62"/>
      <c r="AV147" s="62"/>
      <c r="AW147" s="62"/>
      <c r="AX147" s="62"/>
      <c r="AY147" s="62"/>
      <c r="AZ147" s="62"/>
      <c r="BA147" s="62"/>
      <c r="BB147" s="62"/>
      <c r="BC147" s="62"/>
      <c r="BD147" s="62"/>
      <c r="BE147" s="62"/>
      <c r="BF147" s="62"/>
      <c r="BG147" s="62"/>
      <c r="BH147" s="62"/>
      <c r="BI147" s="62"/>
      <c r="BJ147" s="62"/>
      <c r="BK147" s="62"/>
    </row>
    <row r="148" spans="1:63" x14ac:dyDescent="0.3">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c r="AA148" s="62"/>
      <c r="AB148" s="62"/>
      <c r="AC148" s="62"/>
      <c r="AD148" s="62"/>
      <c r="AE148" s="62"/>
      <c r="AF148" s="62"/>
      <c r="AG148" s="62"/>
      <c r="AH148" s="62"/>
      <c r="AI148" s="62"/>
      <c r="AJ148" s="62"/>
      <c r="AK148" s="62"/>
      <c r="AL148" s="62"/>
      <c r="AM148" s="62"/>
      <c r="AN148" s="62"/>
      <c r="AO148" s="62"/>
      <c r="AP148" s="62"/>
      <c r="AQ148" s="62"/>
      <c r="AR148" s="62"/>
      <c r="AS148" s="62"/>
      <c r="AT148" s="62"/>
      <c r="AU148" s="62"/>
      <c r="AV148" s="62"/>
      <c r="AW148" s="62"/>
      <c r="AX148" s="62"/>
      <c r="AY148" s="62"/>
      <c r="AZ148" s="62"/>
      <c r="BA148" s="62"/>
      <c r="BB148" s="62"/>
      <c r="BC148" s="62"/>
      <c r="BD148" s="62"/>
      <c r="BE148" s="62"/>
      <c r="BF148" s="62"/>
      <c r="BG148" s="62"/>
      <c r="BH148" s="62"/>
      <c r="BI148" s="62"/>
      <c r="BJ148" s="62"/>
      <c r="BK148" s="62"/>
    </row>
    <row r="149" spans="1:63" x14ac:dyDescent="0.3">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c r="AA149" s="62"/>
      <c r="AB149" s="62"/>
      <c r="AC149" s="62"/>
      <c r="AD149" s="62"/>
      <c r="AE149" s="62"/>
      <c r="AF149" s="62"/>
      <c r="AG149" s="62"/>
      <c r="AH149" s="62"/>
      <c r="AI149" s="62"/>
      <c r="AJ149" s="62"/>
      <c r="AK149" s="62"/>
      <c r="AL149" s="62"/>
      <c r="AM149" s="62"/>
      <c r="AN149" s="62"/>
      <c r="AO149" s="62"/>
      <c r="AP149" s="62"/>
      <c r="AQ149" s="62"/>
      <c r="AR149" s="62"/>
      <c r="AS149" s="62"/>
      <c r="AT149" s="62"/>
      <c r="AU149" s="62"/>
      <c r="AV149" s="62"/>
      <c r="AW149" s="62"/>
      <c r="AX149" s="62"/>
      <c r="AY149" s="62"/>
      <c r="AZ149" s="62"/>
      <c r="BA149" s="62"/>
      <c r="BB149" s="62"/>
      <c r="BC149" s="62"/>
      <c r="BD149" s="62"/>
      <c r="BE149" s="62"/>
      <c r="BF149" s="62"/>
      <c r="BG149" s="62"/>
      <c r="BH149" s="62"/>
      <c r="BI149" s="62"/>
      <c r="BJ149" s="62"/>
      <c r="BK149" s="62"/>
    </row>
    <row r="150" spans="1:63" x14ac:dyDescent="0.3">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c r="AA150" s="62"/>
      <c r="AB150" s="62"/>
      <c r="AC150" s="62"/>
      <c r="AD150" s="62"/>
      <c r="AE150" s="62"/>
      <c r="AF150" s="62"/>
      <c r="AG150" s="62"/>
      <c r="AH150" s="62"/>
      <c r="AI150" s="62"/>
      <c r="AJ150" s="62"/>
      <c r="AK150" s="62"/>
      <c r="AL150" s="62"/>
      <c r="AM150" s="62"/>
      <c r="AN150" s="62"/>
      <c r="AO150" s="62"/>
      <c r="AP150" s="62"/>
      <c r="AQ150" s="62"/>
      <c r="AR150" s="62"/>
      <c r="AS150" s="62"/>
      <c r="AT150" s="62"/>
      <c r="AU150" s="62"/>
      <c r="AV150" s="62"/>
      <c r="AW150" s="62"/>
      <c r="AX150" s="62"/>
      <c r="AY150" s="62"/>
      <c r="AZ150" s="62"/>
      <c r="BA150" s="62"/>
      <c r="BB150" s="62"/>
      <c r="BC150" s="62"/>
      <c r="BD150" s="62"/>
      <c r="BE150" s="62"/>
      <c r="BF150" s="62"/>
      <c r="BG150" s="62"/>
      <c r="BH150" s="62"/>
      <c r="BI150" s="62"/>
      <c r="BJ150" s="62"/>
      <c r="BK150" s="62"/>
    </row>
    <row r="151" spans="1:63" x14ac:dyDescent="0.3">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c r="AA151" s="62"/>
      <c r="AB151" s="62"/>
      <c r="AC151" s="62"/>
      <c r="AD151" s="62"/>
      <c r="AE151" s="62"/>
      <c r="AF151" s="62"/>
      <c r="AG151" s="62"/>
      <c r="AH151" s="62"/>
      <c r="AI151" s="62"/>
      <c r="AJ151" s="62"/>
      <c r="AK151" s="62"/>
      <c r="AL151" s="62"/>
      <c r="AM151" s="62"/>
      <c r="AN151" s="62"/>
      <c r="AO151" s="62"/>
      <c r="AP151" s="62"/>
      <c r="AQ151" s="62"/>
      <c r="AR151" s="62"/>
      <c r="AS151" s="62"/>
      <c r="AT151" s="62"/>
      <c r="AU151" s="62"/>
      <c r="AV151" s="62"/>
      <c r="AW151" s="62"/>
      <c r="AX151" s="62"/>
      <c r="AY151" s="62"/>
      <c r="AZ151" s="62"/>
      <c r="BA151" s="62"/>
      <c r="BB151" s="62"/>
      <c r="BC151" s="62"/>
      <c r="BD151" s="62"/>
      <c r="BE151" s="62"/>
      <c r="BF151" s="62"/>
      <c r="BG151" s="62"/>
      <c r="BH151" s="62"/>
      <c r="BI151" s="62"/>
      <c r="BJ151" s="62"/>
      <c r="BK151" s="62"/>
    </row>
    <row r="152" spans="1:63" x14ac:dyDescent="0.3">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c r="AA152" s="62"/>
      <c r="AB152" s="62"/>
      <c r="AC152" s="62"/>
      <c r="AD152" s="62"/>
      <c r="AE152" s="62"/>
      <c r="AF152" s="62"/>
      <c r="AG152" s="62"/>
      <c r="AH152" s="62"/>
      <c r="AI152" s="62"/>
      <c r="AJ152" s="62"/>
      <c r="AK152" s="62"/>
      <c r="AL152" s="62"/>
      <c r="AM152" s="62"/>
      <c r="AN152" s="62"/>
      <c r="AO152" s="62"/>
      <c r="AP152" s="62"/>
      <c r="AQ152" s="62"/>
      <c r="AR152" s="62"/>
      <c r="AS152" s="62"/>
      <c r="AT152" s="62"/>
      <c r="AU152" s="62"/>
      <c r="AV152" s="62"/>
      <c r="AW152" s="62"/>
      <c r="AX152" s="62"/>
      <c r="AY152" s="62"/>
      <c r="AZ152" s="62"/>
      <c r="BA152" s="62"/>
      <c r="BB152" s="62"/>
      <c r="BC152" s="62"/>
      <c r="BD152" s="62"/>
      <c r="BE152" s="62"/>
      <c r="BF152" s="62"/>
      <c r="BG152" s="62"/>
      <c r="BH152" s="62"/>
      <c r="BI152" s="62"/>
      <c r="BJ152" s="62"/>
      <c r="BK152" s="62"/>
    </row>
    <row r="153" spans="1:63" x14ac:dyDescent="0.3">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c r="AA153" s="62"/>
      <c r="AB153" s="62"/>
      <c r="AC153" s="62"/>
      <c r="AD153" s="62"/>
      <c r="AE153" s="62"/>
      <c r="AF153" s="62"/>
      <c r="AG153" s="62"/>
      <c r="AH153" s="62"/>
      <c r="AI153" s="62"/>
      <c r="AJ153" s="62"/>
      <c r="AK153" s="62"/>
      <c r="AL153" s="62"/>
      <c r="AM153" s="62"/>
      <c r="AN153" s="62"/>
      <c r="AO153" s="62"/>
      <c r="AP153" s="62"/>
      <c r="AQ153" s="62"/>
      <c r="AR153" s="62"/>
      <c r="AS153" s="62"/>
      <c r="AT153" s="62"/>
      <c r="AU153" s="62"/>
      <c r="AV153" s="62"/>
      <c r="AW153" s="62"/>
      <c r="AX153" s="62"/>
      <c r="AY153" s="62"/>
      <c r="AZ153" s="62"/>
      <c r="BA153" s="62"/>
      <c r="BB153" s="62"/>
      <c r="BC153" s="62"/>
      <c r="BD153" s="62"/>
      <c r="BE153" s="62"/>
      <c r="BF153" s="62"/>
      <c r="BG153" s="62"/>
      <c r="BH153" s="62"/>
      <c r="BI153" s="62"/>
      <c r="BJ153" s="62"/>
      <c r="BK153" s="62"/>
    </row>
    <row r="154" spans="1:63" x14ac:dyDescent="0.3">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c r="AA154" s="62"/>
      <c r="AB154" s="62"/>
      <c r="AC154" s="62"/>
      <c r="AD154" s="62"/>
      <c r="AE154" s="62"/>
      <c r="AF154" s="62"/>
      <c r="AG154" s="62"/>
      <c r="AH154" s="62"/>
      <c r="AI154" s="62"/>
      <c r="AJ154" s="62"/>
      <c r="AK154" s="62"/>
      <c r="AL154" s="62"/>
      <c r="AM154" s="62"/>
      <c r="AN154" s="62"/>
      <c r="AO154" s="62"/>
      <c r="AP154" s="62"/>
      <c r="AQ154" s="62"/>
      <c r="AR154" s="62"/>
      <c r="AS154" s="62"/>
      <c r="AT154" s="62"/>
      <c r="AU154" s="62"/>
      <c r="AV154" s="62"/>
      <c r="AW154" s="62"/>
      <c r="AX154" s="62"/>
      <c r="AY154" s="62"/>
      <c r="AZ154" s="62"/>
      <c r="BA154" s="62"/>
      <c r="BB154" s="62"/>
      <c r="BC154" s="62"/>
      <c r="BD154" s="62"/>
      <c r="BE154" s="62"/>
      <c r="BF154" s="62"/>
      <c r="BG154" s="62"/>
      <c r="BH154" s="62"/>
      <c r="BI154" s="62"/>
      <c r="BJ154" s="62"/>
      <c r="BK154" s="62"/>
    </row>
    <row r="155" spans="1:63" x14ac:dyDescent="0.3">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c r="AA155" s="62"/>
      <c r="AB155" s="62"/>
      <c r="AC155" s="62"/>
      <c r="AD155" s="62"/>
      <c r="AE155" s="62"/>
      <c r="AF155" s="62"/>
      <c r="AG155" s="62"/>
      <c r="AH155" s="62"/>
      <c r="AI155" s="62"/>
      <c r="AJ155" s="62"/>
      <c r="AK155" s="62"/>
      <c r="AL155" s="62"/>
      <c r="AM155" s="62"/>
      <c r="AN155" s="62"/>
      <c r="AO155" s="62"/>
      <c r="AP155" s="62"/>
      <c r="AQ155" s="62"/>
      <c r="AR155" s="62"/>
      <c r="AS155" s="62"/>
      <c r="AT155" s="62"/>
      <c r="AU155" s="62"/>
      <c r="AV155" s="62"/>
      <c r="AW155" s="62"/>
      <c r="AX155" s="62"/>
      <c r="AY155" s="62"/>
      <c r="AZ155" s="62"/>
      <c r="BA155" s="62"/>
      <c r="BB155" s="62"/>
      <c r="BC155" s="62"/>
      <c r="BD155" s="62"/>
      <c r="BE155" s="62"/>
      <c r="BF155" s="62"/>
      <c r="BG155" s="62"/>
      <c r="BH155" s="62"/>
      <c r="BI155" s="62"/>
      <c r="BJ155" s="62"/>
      <c r="BK155" s="62"/>
    </row>
    <row r="156" spans="1:63" x14ac:dyDescent="0.3">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c r="AA156" s="62"/>
      <c r="AB156" s="62"/>
      <c r="AC156" s="62"/>
      <c r="AD156" s="62"/>
      <c r="AE156" s="62"/>
      <c r="AF156" s="62"/>
      <c r="AG156" s="62"/>
      <c r="AH156" s="62"/>
      <c r="AI156" s="62"/>
      <c r="AJ156" s="62"/>
      <c r="AK156" s="62"/>
      <c r="AL156" s="62"/>
      <c r="AM156" s="62"/>
      <c r="AN156" s="62"/>
      <c r="AO156" s="62"/>
      <c r="AP156" s="62"/>
      <c r="AQ156" s="62"/>
      <c r="AR156" s="62"/>
      <c r="AS156" s="62"/>
      <c r="AT156" s="62"/>
      <c r="AU156" s="62"/>
      <c r="AV156" s="62"/>
      <c r="AW156" s="62"/>
      <c r="AX156" s="62"/>
      <c r="AY156" s="62"/>
      <c r="AZ156" s="62"/>
      <c r="BA156" s="62"/>
      <c r="BB156" s="62"/>
      <c r="BC156" s="62"/>
      <c r="BD156" s="62"/>
      <c r="BE156" s="62"/>
      <c r="BF156" s="62"/>
      <c r="BG156" s="62"/>
      <c r="BH156" s="62"/>
      <c r="BI156" s="62"/>
      <c r="BJ156" s="62"/>
      <c r="BK156" s="62"/>
    </row>
    <row r="157" spans="1:63" x14ac:dyDescent="0.3">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c r="AA157" s="62"/>
      <c r="AB157" s="62"/>
      <c r="AC157" s="62"/>
      <c r="AD157" s="62"/>
      <c r="AE157" s="62"/>
      <c r="AF157" s="62"/>
      <c r="AG157" s="62"/>
      <c r="AH157" s="62"/>
      <c r="AI157" s="62"/>
      <c r="AJ157" s="62"/>
      <c r="AK157" s="62"/>
      <c r="AL157" s="62"/>
      <c r="AM157" s="62"/>
      <c r="AN157" s="62"/>
      <c r="AO157" s="62"/>
      <c r="AP157" s="62"/>
      <c r="AQ157" s="62"/>
      <c r="AR157" s="62"/>
      <c r="AS157" s="62"/>
      <c r="AT157" s="62"/>
      <c r="AU157" s="62"/>
      <c r="AV157" s="62"/>
      <c r="AW157" s="62"/>
      <c r="AX157" s="62"/>
      <c r="AY157" s="62"/>
      <c r="AZ157" s="62"/>
      <c r="BA157" s="62"/>
      <c r="BB157" s="62"/>
      <c r="BC157" s="62"/>
      <c r="BD157" s="62"/>
      <c r="BE157" s="62"/>
      <c r="BF157" s="62"/>
      <c r="BG157" s="62"/>
      <c r="BH157" s="62"/>
      <c r="BI157" s="62"/>
      <c r="BJ157" s="62"/>
      <c r="BK157" s="62"/>
    </row>
    <row r="158" spans="1:63" x14ac:dyDescent="0.3">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c r="AA158" s="62"/>
      <c r="AB158" s="62"/>
      <c r="AC158" s="62"/>
      <c r="AD158" s="62"/>
      <c r="AE158" s="62"/>
      <c r="AF158" s="62"/>
      <c r="AG158" s="62"/>
      <c r="AH158" s="62"/>
      <c r="AI158" s="62"/>
      <c r="AJ158" s="62"/>
      <c r="AK158" s="62"/>
      <c r="AL158" s="62"/>
      <c r="AM158" s="62"/>
      <c r="AN158" s="62"/>
      <c r="AO158" s="62"/>
      <c r="AP158" s="62"/>
      <c r="AQ158" s="62"/>
      <c r="AR158" s="62"/>
      <c r="AS158" s="62"/>
      <c r="AT158" s="62"/>
      <c r="AU158" s="62"/>
      <c r="AV158" s="62"/>
      <c r="AW158" s="62"/>
      <c r="AX158" s="62"/>
      <c r="AY158" s="62"/>
      <c r="AZ158" s="62"/>
      <c r="BA158" s="62"/>
      <c r="BB158" s="62"/>
      <c r="BC158" s="62"/>
      <c r="BD158" s="62"/>
      <c r="BE158" s="62"/>
      <c r="BF158" s="62"/>
      <c r="BG158" s="62"/>
      <c r="BH158" s="62"/>
      <c r="BI158" s="62"/>
      <c r="BJ158" s="62"/>
      <c r="BK158" s="62"/>
    </row>
    <row r="159" spans="1:63" x14ac:dyDescent="0.3">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row>
    <row r="160" spans="1:63" x14ac:dyDescent="0.3">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c r="AA160" s="62"/>
      <c r="AB160" s="62"/>
      <c r="AC160" s="62"/>
      <c r="AD160" s="62"/>
      <c r="AE160" s="62"/>
      <c r="AF160" s="62"/>
      <c r="AG160" s="62"/>
      <c r="AH160" s="62"/>
      <c r="AI160" s="62"/>
      <c r="AJ160" s="62"/>
      <c r="AK160" s="62"/>
      <c r="AL160" s="62"/>
      <c r="AM160" s="62"/>
      <c r="AN160" s="62"/>
      <c r="AO160" s="62"/>
      <c r="AP160" s="62"/>
      <c r="AQ160" s="62"/>
      <c r="AR160" s="62"/>
      <c r="AS160" s="62"/>
      <c r="AT160" s="62"/>
      <c r="AU160" s="62"/>
      <c r="AV160" s="62"/>
      <c r="AW160" s="62"/>
      <c r="AX160" s="62"/>
      <c r="AY160" s="62"/>
      <c r="AZ160" s="62"/>
      <c r="BA160" s="62"/>
      <c r="BB160" s="62"/>
      <c r="BC160" s="62"/>
      <c r="BD160" s="62"/>
      <c r="BE160" s="62"/>
      <c r="BF160" s="62"/>
      <c r="BG160" s="62"/>
      <c r="BH160" s="62"/>
      <c r="BI160" s="62"/>
      <c r="BJ160" s="62"/>
      <c r="BK160" s="62"/>
    </row>
    <row r="161" spans="1:63" x14ac:dyDescent="0.3">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c r="AA161" s="62"/>
      <c r="AB161" s="62"/>
      <c r="AC161" s="62"/>
      <c r="AD161" s="62"/>
      <c r="AE161" s="62"/>
      <c r="AF161" s="62"/>
      <c r="AG161" s="62"/>
      <c r="AH161" s="62"/>
      <c r="AI161" s="62"/>
      <c r="AJ161" s="62"/>
      <c r="AK161" s="62"/>
      <c r="AL161" s="62"/>
      <c r="AM161" s="62"/>
      <c r="AN161" s="62"/>
      <c r="AO161" s="62"/>
      <c r="AP161" s="62"/>
      <c r="AQ161" s="62"/>
      <c r="AR161" s="62"/>
      <c r="AS161" s="62"/>
      <c r="AT161" s="62"/>
      <c r="AU161" s="62"/>
      <c r="AV161" s="62"/>
      <c r="AW161" s="62"/>
      <c r="AX161" s="62"/>
      <c r="AY161" s="62"/>
      <c r="AZ161" s="62"/>
      <c r="BA161" s="62"/>
      <c r="BB161" s="62"/>
      <c r="BC161" s="62"/>
      <c r="BD161" s="62"/>
      <c r="BE161" s="62"/>
      <c r="BF161" s="62"/>
      <c r="BG161" s="62"/>
      <c r="BH161" s="62"/>
      <c r="BI161" s="62"/>
      <c r="BJ161" s="62"/>
      <c r="BK161" s="62"/>
    </row>
    <row r="162" spans="1:63" x14ac:dyDescent="0.3">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c r="AA162" s="62"/>
      <c r="AB162" s="62"/>
      <c r="AC162" s="62"/>
      <c r="AD162" s="62"/>
      <c r="AE162" s="62"/>
      <c r="AF162" s="62"/>
      <c r="AG162" s="62"/>
      <c r="AH162" s="62"/>
      <c r="AI162" s="62"/>
      <c r="AJ162" s="62"/>
      <c r="AK162" s="62"/>
      <c r="AL162" s="62"/>
      <c r="AM162" s="62"/>
      <c r="AN162" s="62"/>
      <c r="AO162" s="62"/>
      <c r="AP162" s="62"/>
      <c r="AQ162" s="62"/>
      <c r="AR162" s="62"/>
      <c r="AS162" s="62"/>
      <c r="AT162" s="62"/>
      <c r="AU162" s="62"/>
      <c r="AV162" s="62"/>
      <c r="AW162" s="62"/>
      <c r="AX162" s="62"/>
      <c r="AY162" s="62"/>
      <c r="AZ162" s="62"/>
      <c r="BA162" s="62"/>
      <c r="BB162" s="62"/>
      <c r="BC162" s="62"/>
      <c r="BD162" s="62"/>
      <c r="BE162" s="62"/>
      <c r="BF162" s="62"/>
      <c r="BG162" s="62"/>
      <c r="BH162" s="62"/>
      <c r="BI162" s="62"/>
      <c r="BJ162" s="62"/>
      <c r="BK162" s="62"/>
    </row>
    <row r="163" spans="1:63" x14ac:dyDescent="0.3">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c r="AA163" s="62"/>
      <c r="AB163" s="62"/>
      <c r="AC163" s="62"/>
      <c r="AD163" s="62"/>
      <c r="AE163" s="62"/>
      <c r="AF163" s="62"/>
      <c r="AG163" s="62"/>
      <c r="AH163" s="62"/>
      <c r="AI163" s="62"/>
      <c r="AJ163" s="62"/>
      <c r="AK163" s="62"/>
      <c r="AL163" s="62"/>
      <c r="AM163" s="62"/>
      <c r="AN163" s="62"/>
      <c r="AO163" s="62"/>
      <c r="AP163" s="62"/>
      <c r="AQ163" s="62"/>
      <c r="AR163" s="62"/>
      <c r="AS163" s="62"/>
      <c r="AT163" s="62"/>
      <c r="AU163" s="62"/>
      <c r="AV163" s="62"/>
      <c r="AW163" s="62"/>
      <c r="AX163" s="62"/>
      <c r="AY163" s="62"/>
      <c r="AZ163" s="62"/>
      <c r="BA163" s="62"/>
      <c r="BB163" s="62"/>
      <c r="BC163" s="62"/>
      <c r="BD163" s="62"/>
      <c r="BE163" s="62"/>
      <c r="BF163" s="62"/>
      <c r="BG163" s="62"/>
      <c r="BH163" s="62"/>
      <c r="BI163" s="62"/>
      <c r="BJ163" s="62"/>
      <c r="BK163" s="62"/>
    </row>
    <row r="164" spans="1:63" x14ac:dyDescent="0.3">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c r="AA164" s="62"/>
      <c r="AB164" s="62"/>
      <c r="AC164" s="62"/>
      <c r="AD164" s="62"/>
      <c r="AE164" s="62"/>
      <c r="AF164" s="62"/>
      <c r="AG164" s="62"/>
      <c r="AH164" s="62"/>
      <c r="AI164" s="62"/>
      <c r="AJ164" s="62"/>
      <c r="AK164" s="62"/>
      <c r="AL164" s="62"/>
      <c r="AM164" s="62"/>
      <c r="AN164" s="62"/>
      <c r="AO164" s="62"/>
      <c r="AP164" s="62"/>
      <c r="AQ164" s="62"/>
      <c r="AR164" s="62"/>
      <c r="AS164" s="62"/>
      <c r="AT164" s="62"/>
      <c r="AU164" s="62"/>
      <c r="AV164" s="62"/>
      <c r="AW164" s="62"/>
      <c r="AX164" s="62"/>
      <c r="AY164" s="62"/>
      <c r="AZ164" s="62"/>
      <c r="BA164" s="62"/>
      <c r="BB164" s="62"/>
      <c r="BC164" s="62"/>
      <c r="BD164" s="62"/>
      <c r="BE164" s="62"/>
      <c r="BF164" s="62"/>
      <c r="BG164" s="62"/>
      <c r="BH164" s="62"/>
      <c r="BI164" s="62"/>
      <c r="BJ164" s="62"/>
      <c r="BK164" s="62"/>
    </row>
    <row r="165" spans="1:63" x14ac:dyDescent="0.3">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c r="AA165" s="62"/>
      <c r="AB165" s="62"/>
      <c r="AC165" s="62"/>
      <c r="AD165" s="62"/>
      <c r="AE165" s="62"/>
      <c r="AF165" s="62"/>
      <c r="AG165" s="62"/>
      <c r="AH165" s="62"/>
      <c r="AI165" s="62"/>
      <c r="AJ165" s="62"/>
      <c r="AK165" s="62"/>
      <c r="AL165" s="62"/>
      <c r="AM165" s="62"/>
      <c r="AN165" s="62"/>
      <c r="AO165" s="62"/>
      <c r="AP165" s="62"/>
      <c r="AQ165" s="62"/>
      <c r="AR165" s="62"/>
      <c r="AS165" s="62"/>
      <c r="AT165" s="62"/>
      <c r="AU165" s="62"/>
      <c r="AV165" s="62"/>
      <c r="AW165" s="62"/>
      <c r="AX165" s="62"/>
      <c r="AY165" s="62"/>
      <c r="AZ165" s="62"/>
      <c r="BA165" s="62"/>
      <c r="BB165" s="62"/>
      <c r="BC165" s="62"/>
      <c r="BD165" s="62"/>
      <c r="BE165" s="62"/>
      <c r="BF165" s="62"/>
      <c r="BG165" s="62"/>
      <c r="BH165" s="62"/>
      <c r="BI165" s="62"/>
      <c r="BJ165" s="62"/>
      <c r="BK165" s="62"/>
    </row>
    <row r="166" spans="1:63" x14ac:dyDescent="0.3">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c r="AA166" s="62"/>
      <c r="AB166" s="62"/>
      <c r="AC166" s="62"/>
      <c r="AD166" s="62"/>
      <c r="AE166" s="62"/>
      <c r="AF166" s="62"/>
      <c r="AG166" s="62"/>
      <c r="AH166" s="62"/>
      <c r="AI166" s="62"/>
      <c r="AJ166" s="62"/>
      <c r="AK166" s="62"/>
      <c r="AL166" s="62"/>
      <c r="AM166" s="62"/>
      <c r="AN166" s="62"/>
      <c r="AO166" s="62"/>
      <c r="AP166" s="62"/>
      <c r="AQ166" s="62"/>
      <c r="AR166" s="62"/>
      <c r="AS166" s="62"/>
      <c r="AT166" s="62"/>
      <c r="AU166" s="62"/>
      <c r="AV166" s="62"/>
      <c r="AW166" s="62"/>
      <c r="AX166" s="62"/>
      <c r="AY166" s="62"/>
      <c r="AZ166" s="62"/>
      <c r="BA166" s="62"/>
      <c r="BB166" s="62"/>
      <c r="BC166" s="62"/>
      <c r="BD166" s="62"/>
      <c r="BE166" s="62"/>
      <c r="BF166" s="62"/>
      <c r="BG166" s="62"/>
      <c r="BH166" s="62"/>
      <c r="BI166" s="62"/>
      <c r="BJ166" s="62"/>
      <c r="BK166" s="62"/>
    </row>
    <row r="167" spans="1:63" x14ac:dyDescent="0.3">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c r="AA167" s="62"/>
      <c r="AB167" s="62"/>
      <c r="AC167" s="62"/>
      <c r="AD167" s="62"/>
      <c r="AE167" s="62"/>
      <c r="AF167" s="62"/>
      <c r="AG167" s="62"/>
      <c r="AH167" s="62"/>
      <c r="AI167" s="62"/>
      <c r="AJ167" s="62"/>
      <c r="AK167" s="62"/>
      <c r="AL167" s="62"/>
      <c r="AM167" s="62"/>
      <c r="AN167" s="62"/>
      <c r="AO167" s="62"/>
      <c r="AP167" s="62"/>
      <c r="AQ167" s="62"/>
      <c r="AR167" s="62"/>
      <c r="AS167" s="62"/>
      <c r="AT167" s="62"/>
      <c r="AU167" s="62"/>
      <c r="AV167" s="62"/>
      <c r="AW167" s="62"/>
      <c r="AX167" s="62"/>
      <c r="AY167" s="62"/>
      <c r="AZ167" s="62"/>
      <c r="BA167" s="62"/>
      <c r="BB167" s="62"/>
      <c r="BC167" s="62"/>
      <c r="BD167" s="62"/>
      <c r="BE167" s="62"/>
      <c r="BF167" s="62"/>
      <c r="BG167" s="62"/>
      <c r="BH167" s="62"/>
      <c r="BI167" s="62"/>
      <c r="BJ167" s="62"/>
      <c r="BK167" s="62"/>
    </row>
    <row r="168" spans="1:63" x14ac:dyDescent="0.3">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c r="AA168" s="62"/>
      <c r="AB168" s="62"/>
      <c r="AC168" s="62"/>
      <c r="AD168" s="62"/>
      <c r="AE168" s="62"/>
      <c r="AF168" s="62"/>
      <c r="AG168" s="62"/>
      <c r="AH168" s="62"/>
      <c r="AI168" s="62"/>
      <c r="AJ168" s="62"/>
      <c r="AK168" s="62"/>
      <c r="AL168" s="62"/>
      <c r="AM168" s="62"/>
      <c r="AN168" s="62"/>
      <c r="AO168" s="62"/>
      <c r="AP168" s="62"/>
      <c r="AQ168" s="62"/>
      <c r="AR168" s="62"/>
      <c r="AS168" s="62"/>
      <c r="AT168" s="62"/>
      <c r="AU168" s="62"/>
      <c r="AV168" s="62"/>
      <c r="AW168" s="62"/>
      <c r="AX168" s="62"/>
      <c r="AY168" s="62"/>
      <c r="AZ168" s="62"/>
      <c r="BA168" s="62"/>
      <c r="BB168" s="62"/>
      <c r="BC168" s="62"/>
      <c r="BD168" s="62"/>
      <c r="BE168" s="62"/>
      <c r="BF168" s="62"/>
      <c r="BG168" s="62"/>
      <c r="BH168" s="62"/>
      <c r="BI168" s="62"/>
      <c r="BJ168" s="62"/>
      <c r="BK168" s="62"/>
    </row>
    <row r="169" spans="1:63" x14ac:dyDescent="0.3">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c r="AA169" s="62"/>
      <c r="AB169" s="62"/>
      <c r="AC169" s="62"/>
      <c r="AD169" s="62"/>
      <c r="AE169" s="62"/>
      <c r="AF169" s="62"/>
      <c r="AG169" s="62"/>
      <c r="AH169" s="62"/>
      <c r="AI169" s="62"/>
      <c r="AJ169" s="62"/>
      <c r="AK169" s="62"/>
      <c r="AL169" s="62"/>
      <c r="AM169" s="62"/>
      <c r="AN169" s="62"/>
      <c r="AO169" s="62"/>
      <c r="AP169" s="62"/>
      <c r="AQ169" s="62"/>
      <c r="AR169" s="62"/>
      <c r="AS169" s="62"/>
      <c r="AT169" s="62"/>
      <c r="AU169" s="62"/>
      <c r="AV169" s="62"/>
      <c r="AW169" s="62"/>
      <c r="AX169" s="62"/>
      <c r="AY169" s="62"/>
      <c r="AZ169" s="62"/>
      <c r="BA169" s="62"/>
      <c r="BB169" s="62"/>
      <c r="BC169" s="62"/>
      <c r="BD169" s="62"/>
      <c r="BE169" s="62"/>
      <c r="BF169" s="62"/>
      <c r="BG169" s="62"/>
      <c r="BH169" s="62"/>
      <c r="BI169" s="62"/>
      <c r="BJ169" s="62"/>
      <c r="BK169" s="62"/>
    </row>
    <row r="170" spans="1:63" x14ac:dyDescent="0.3">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c r="AA170" s="62"/>
      <c r="AB170" s="62"/>
      <c r="AC170" s="62"/>
      <c r="AD170" s="62"/>
      <c r="AE170" s="62"/>
      <c r="AF170" s="62"/>
      <c r="AG170" s="62"/>
      <c r="AH170" s="62"/>
      <c r="AI170" s="62"/>
      <c r="AJ170" s="62"/>
      <c r="AK170" s="62"/>
      <c r="AL170" s="62"/>
      <c r="AM170" s="62"/>
      <c r="AN170" s="62"/>
      <c r="AO170" s="62"/>
      <c r="AP170" s="62"/>
      <c r="AQ170" s="62"/>
      <c r="AR170" s="62"/>
      <c r="AS170" s="62"/>
      <c r="AT170" s="62"/>
      <c r="AU170" s="62"/>
      <c r="AV170" s="62"/>
      <c r="AW170" s="62"/>
      <c r="AX170" s="62"/>
      <c r="AY170" s="62"/>
      <c r="AZ170" s="62"/>
      <c r="BA170" s="62"/>
      <c r="BB170" s="62"/>
      <c r="BC170" s="62"/>
      <c r="BD170" s="62"/>
      <c r="BE170" s="62"/>
      <c r="BF170" s="62"/>
      <c r="BG170" s="62"/>
      <c r="BH170" s="62"/>
      <c r="BI170" s="62"/>
      <c r="BJ170" s="62"/>
      <c r="BK170" s="62"/>
    </row>
    <row r="171" spans="1:63" x14ac:dyDescent="0.3">
      <c r="Q171" s="62"/>
      <c r="R171" s="62"/>
      <c r="S171" s="62"/>
      <c r="T171" s="62"/>
      <c r="U171" s="62"/>
      <c r="V171" s="62"/>
      <c r="W171" s="62"/>
      <c r="X171" s="62"/>
      <c r="Y171" s="62"/>
      <c r="Z171" s="62"/>
      <c r="AA171" s="62"/>
      <c r="AB171" s="62"/>
      <c r="AC171" s="62"/>
      <c r="AD171" s="62"/>
      <c r="AE171" s="62"/>
      <c r="AF171" s="62"/>
      <c r="AG171" s="62"/>
      <c r="AH171" s="62"/>
      <c r="AI171" s="62"/>
      <c r="AJ171" s="62"/>
      <c r="AK171" s="62"/>
      <c r="AL171" s="62"/>
      <c r="AM171" s="62"/>
      <c r="AN171" s="62"/>
      <c r="AO171" s="62"/>
      <c r="AP171" s="62"/>
      <c r="AQ171" s="62"/>
      <c r="AR171" s="62"/>
      <c r="AS171" s="62"/>
      <c r="AT171" s="62"/>
      <c r="AU171" s="62"/>
      <c r="AV171" s="62"/>
      <c r="AW171" s="62"/>
      <c r="AX171" s="62"/>
      <c r="AY171" s="62"/>
      <c r="AZ171" s="62"/>
      <c r="BA171" s="62"/>
      <c r="BB171" s="62"/>
      <c r="BC171" s="62"/>
      <c r="BD171" s="62"/>
      <c r="BE171" s="62"/>
      <c r="BF171" s="62"/>
      <c r="BG171" s="62"/>
      <c r="BH171" s="62"/>
      <c r="BI171" s="62"/>
      <c r="BJ171" s="62"/>
      <c r="BK171" s="62"/>
    </row>
    <row r="172" spans="1:63" x14ac:dyDescent="0.3">
      <c r="Q172" s="62"/>
      <c r="R172" s="62"/>
      <c r="S172" s="62"/>
      <c r="T172" s="62"/>
      <c r="U172" s="62"/>
      <c r="V172" s="62"/>
      <c r="W172" s="62"/>
      <c r="X172" s="62"/>
      <c r="Y172" s="62"/>
      <c r="Z172" s="62"/>
      <c r="AA172" s="62"/>
      <c r="AB172" s="62"/>
      <c r="AC172" s="62"/>
      <c r="AD172" s="62"/>
      <c r="AE172" s="62"/>
      <c r="AF172" s="62"/>
      <c r="AG172" s="62"/>
      <c r="AH172" s="62"/>
      <c r="AI172" s="62"/>
      <c r="AJ172" s="62"/>
      <c r="AK172" s="62"/>
      <c r="AL172" s="62"/>
      <c r="AM172" s="62"/>
      <c r="AN172" s="62"/>
      <c r="AO172" s="62"/>
      <c r="AP172" s="62"/>
      <c r="AQ172" s="62"/>
      <c r="AR172" s="62"/>
      <c r="AS172" s="62"/>
      <c r="AT172" s="62"/>
      <c r="AU172" s="62"/>
      <c r="AV172" s="62"/>
      <c r="AW172" s="62"/>
      <c r="AX172" s="62"/>
      <c r="AY172" s="62"/>
      <c r="AZ172" s="62"/>
      <c r="BA172" s="62"/>
      <c r="BB172" s="62"/>
      <c r="BC172" s="62"/>
      <c r="BD172" s="62"/>
      <c r="BE172" s="62"/>
      <c r="BF172" s="62"/>
      <c r="BG172" s="62"/>
      <c r="BH172" s="62"/>
      <c r="BI172" s="62"/>
      <c r="BJ172" s="62"/>
      <c r="BK172" s="62"/>
    </row>
  </sheetData>
  <phoneticPr fontId="34"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F70B0-D529-4C40-BA17-E8B62D57F65C}">
  <sheetPr codeName="Feuil7"/>
  <dimension ref="B25:Z36"/>
  <sheetViews>
    <sheetView tabSelected="1" zoomScale="47" zoomScaleNormal="82" workbookViewId="0">
      <selection activeCell="B25" sqref="B25:Z30"/>
    </sheetView>
  </sheetViews>
  <sheetFormatPr baseColWidth="10" defaultRowHeight="14.4" x14ac:dyDescent="0.3"/>
  <cols>
    <col min="2" max="2" width="25" bestFit="1" customWidth="1"/>
    <col min="3" max="3" width="16.6640625" bestFit="1" customWidth="1"/>
    <col min="4" max="4" width="14.5546875" bestFit="1" customWidth="1"/>
    <col min="5" max="5" width="22.5546875" bestFit="1" customWidth="1"/>
    <col min="6" max="7" width="11.77734375" bestFit="1" customWidth="1"/>
    <col min="8" max="8" width="13.44140625" bestFit="1" customWidth="1"/>
    <col min="9" max="9" width="11.77734375" bestFit="1" customWidth="1"/>
    <col min="10" max="11" width="13.44140625" bestFit="1" customWidth="1"/>
    <col min="12" max="15" width="11.77734375" bestFit="1" customWidth="1"/>
    <col min="16" max="16" width="13" bestFit="1" customWidth="1"/>
    <col min="17" max="17" width="11.77734375" bestFit="1" customWidth="1"/>
    <col min="18" max="18" width="13" bestFit="1" customWidth="1"/>
    <col min="19" max="19" width="11.77734375" bestFit="1" customWidth="1"/>
    <col min="20" max="20" width="14.109375" bestFit="1" customWidth="1"/>
    <col min="21" max="21" width="13" bestFit="1" customWidth="1"/>
    <col min="22" max="22" width="15.21875" bestFit="1" customWidth="1"/>
    <col min="23" max="23" width="13" bestFit="1" customWidth="1"/>
    <col min="24" max="25" width="11.77734375" bestFit="1" customWidth="1"/>
    <col min="26" max="26" width="13" bestFit="1" customWidth="1"/>
  </cols>
  <sheetData>
    <row r="25" spans="2:26" x14ac:dyDescent="0.3">
      <c r="B25" s="59" t="s">
        <v>135</v>
      </c>
      <c r="C25" s="61" t="s">
        <v>0</v>
      </c>
      <c r="D25" s="61" t="s">
        <v>34</v>
      </c>
      <c r="E25" s="61" t="s">
        <v>46</v>
      </c>
      <c r="F25" s="61" t="s">
        <v>15</v>
      </c>
      <c r="G25" s="61" t="s">
        <v>43</v>
      </c>
      <c r="H25" s="61" t="s">
        <v>47</v>
      </c>
      <c r="I25" s="61" t="s">
        <v>16</v>
      </c>
      <c r="J25" s="61" t="s">
        <v>44</v>
      </c>
      <c r="K25" s="61" t="s">
        <v>48</v>
      </c>
      <c r="L25" s="61" t="s">
        <v>17</v>
      </c>
      <c r="M25" s="61" t="s">
        <v>45</v>
      </c>
      <c r="N25" s="61" t="s">
        <v>49</v>
      </c>
      <c r="O25" s="61" t="s">
        <v>0</v>
      </c>
      <c r="P25" s="61" t="s">
        <v>34</v>
      </c>
      <c r="Q25" s="61" t="s">
        <v>46</v>
      </c>
      <c r="R25" s="61" t="s">
        <v>15</v>
      </c>
      <c r="S25" s="61" t="s">
        <v>43</v>
      </c>
      <c r="T25" s="61" t="s">
        <v>47</v>
      </c>
      <c r="U25" s="61" t="s">
        <v>16</v>
      </c>
      <c r="V25" s="61" t="s">
        <v>44</v>
      </c>
      <c r="W25" s="61" t="s">
        <v>48</v>
      </c>
      <c r="X25" s="61" t="s">
        <v>17</v>
      </c>
      <c r="Y25" s="61" t="s">
        <v>45</v>
      </c>
      <c r="Z25" s="61" t="s">
        <v>49</v>
      </c>
    </row>
    <row r="26" spans="2:26" x14ac:dyDescent="0.3">
      <c r="B26" t="s">
        <v>130</v>
      </c>
      <c r="C26" t="s">
        <v>134</v>
      </c>
      <c r="D26" t="s">
        <v>134</v>
      </c>
      <c r="E26" t="s">
        <v>134</v>
      </c>
      <c r="F26">
        <v>298754.07010000001</v>
      </c>
      <c r="G26">
        <v>255297.84960000005</v>
      </c>
      <c r="H26">
        <v>333832.90549999994</v>
      </c>
      <c r="I26">
        <v>234384.64640000003</v>
      </c>
      <c r="J26">
        <v>325806.6679</v>
      </c>
      <c r="K26">
        <v>323921.96540000004</v>
      </c>
      <c r="L26">
        <v>185785.16400000005</v>
      </c>
      <c r="M26">
        <v>158408.8028</v>
      </c>
      <c r="N26">
        <v>374825.86710000009</v>
      </c>
      <c r="O26">
        <v>307984.09200000006</v>
      </c>
      <c r="P26">
        <v>528830.13099999994</v>
      </c>
      <c r="Q26">
        <v>418137.14900000009</v>
      </c>
      <c r="R26">
        <v>357420.76300000004</v>
      </c>
      <c r="S26">
        <v>363507.49999999994</v>
      </c>
      <c r="T26">
        <v>375950.13300000003</v>
      </c>
      <c r="U26">
        <v>362419.47899999999</v>
      </c>
      <c r="V26">
        <v>399446.80299999996</v>
      </c>
      <c r="W26">
        <v>443985.07</v>
      </c>
      <c r="X26">
        <v>287034.272</v>
      </c>
      <c r="Y26" s="7"/>
      <c r="Z26" s="7"/>
    </row>
    <row r="27" spans="2:26" x14ac:dyDescent="0.3">
      <c r="B27" t="s">
        <v>131</v>
      </c>
      <c r="C27">
        <v>1</v>
      </c>
      <c r="D27">
        <v>3</v>
      </c>
      <c r="E27">
        <v>1</v>
      </c>
      <c r="F27">
        <v>2</v>
      </c>
      <c r="G27">
        <v>1</v>
      </c>
      <c r="H27">
        <v>3</v>
      </c>
      <c r="I27">
        <v>2</v>
      </c>
      <c r="J27">
        <v>3</v>
      </c>
      <c r="K27">
        <v>3</v>
      </c>
      <c r="L27">
        <v>1</v>
      </c>
      <c r="M27">
        <v>1</v>
      </c>
      <c r="N27">
        <v>2</v>
      </c>
      <c r="O27">
        <v>1</v>
      </c>
      <c r="P27">
        <v>3</v>
      </c>
      <c r="Q27">
        <v>1</v>
      </c>
      <c r="R27">
        <v>2</v>
      </c>
      <c r="S27">
        <v>1</v>
      </c>
      <c r="T27">
        <v>3</v>
      </c>
      <c r="U27">
        <v>2</v>
      </c>
      <c r="V27">
        <v>3</v>
      </c>
      <c r="W27">
        <v>3</v>
      </c>
      <c r="X27">
        <v>1</v>
      </c>
      <c r="Y27">
        <v>1</v>
      </c>
      <c r="Z27">
        <v>2</v>
      </c>
    </row>
    <row r="28" spans="2:26" x14ac:dyDescent="0.3">
      <c r="B28" t="s">
        <v>132</v>
      </c>
      <c r="C28" s="75">
        <f>C27*$D$35</f>
        <v>456521.73913043475</v>
      </c>
      <c r="D28" s="75">
        <f>D27*$D$35</f>
        <v>1369565.2173913042</v>
      </c>
      <c r="E28" s="75">
        <f t="shared" ref="E28:O28" si="0">E27*$D$35</f>
        <v>456521.73913043475</v>
      </c>
      <c r="F28" s="75">
        <f t="shared" si="0"/>
        <v>913043.47826086951</v>
      </c>
      <c r="G28" s="75">
        <f t="shared" si="0"/>
        <v>456521.73913043475</v>
      </c>
      <c r="H28" s="75">
        <f t="shared" si="0"/>
        <v>1369565.2173913042</v>
      </c>
      <c r="I28" s="75">
        <f t="shared" si="0"/>
        <v>913043.47826086951</v>
      </c>
      <c r="J28" s="75">
        <f t="shared" si="0"/>
        <v>1369565.2173913042</v>
      </c>
      <c r="K28" s="75">
        <f t="shared" si="0"/>
        <v>1369565.2173913042</v>
      </c>
      <c r="L28" s="75">
        <f t="shared" si="0"/>
        <v>456521.73913043475</v>
      </c>
      <c r="M28" s="75">
        <f t="shared" si="0"/>
        <v>456521.73913043475</v>
      </c>
      <c r="N28" s="75">
        <f t="shared" si="0"/>
        <v>913043.47826086951</v>
      </c>
      <c r="O28" s="75">
        <f>O27*$D$36</f>
        <v>565217.39130434778</v>
      </c>
      <c r="P28" s="75">
        <f t="shared" ref="P28:Z28" si="1">P27*$D$36</f>
        <v>1695652.1739130435</v>
      </c>
      <c r="Q28" s="75">
        <f t="shared" si="1"/>
        <v>565217.39130434778</v>
      </c>
      <c r="R28" s="75">
        <f t="shared" si="1"/>
        <v>1130434.7826086956</v>
      </c>
      <c r="S28" s="75">
        <f t="shared" si="1"/>
        <v>565217.39130434778</v>
      </c>
      <c r="T28" s="75">
        <f t="shared" si="1"/>
        <v>1695652.1739130435</v>
      </c>
      <c r="U28" s="75">
        <f t="shared" si="1"/>
        <v>1130434.7826086956</v>
      </c>
      <c r="V28" s="75">
        <f t="shared" si="1"/>
        <v>1695652.1739130435</v>
      </c>
      <c r="W28" s="75">
        <f t="shared" si="1"/>
        <v>1695652.1739130435</v>
      </c>
      <c r="X28" s="75">
        <f t="shared" si="1"/>
        <v>565217.39130434778</v>
      </c>
      <c r="Y28" s="75">
        <f t="shared" si="1"/>
        <v>565217.39130434778</v>
      </c>
      <c r="Z28" s="75">
        <f t="shared" si="1"/>
        <v>1130434.7826086956</v>
      </c>
    </row>
    <row r="29" spans="2:26" x14ac:dyDescent="0.3">
      <c r="B29" t="s">
        <v>133</v>
      </c>
      <c r="C29" t="s">
        <v>134</v>
      </c>
      <c r="D29" t="s">
        <v>134</v>
      </c>
      <c r="E29" t="s">
        <v>134</v>
      </c>
      <c r="F29" t="s">
        <v>134</v>
      </c>
      <c r="G29" t="s">
        <v>134</v>
      </c>
      <c r="H29" t="s">
        <v>134</v>
      </c>
      <c r="I29" t="s">
        <v>134</v>
      </c>
      <c r="J29" t="s">
        <v>134</v>
      </c>
      <c r="K29" t="s">
        <v>134</v>
      </c>
      <c r="L29" t="s">
        <v>134</v>
      </c>
      <c r="M29" t="s">
        <v>134</v>
      </c>
      <c r="N29" t="s">
        <v>134</v>
      </c>
      <c r="O29" t="s">
        <v>134</v>
      </c>
      <c r="P29" t="s">
        <v>134</v>
      </c>
      <c r="Q29" t="s">
        <v>134</v>
      </c>
      <c r="R29">
        <v>298754.07010000001</v>
      </c>
      <c r="S29">
        <v>255297.84960000005</v>
      </c>
      <c r="T29">
        <v>333832.90549999994</v>
      </c>
      <c r="U29">
        <v>234384.64640000003</v>
      </c>
      <c r="V29">
        <v>325806.6679</v>
      </c>
      <c r="W29">
        <v>323921.96540000004</v>
      </c>
      <c r="X29">
        <v>185785.16400000005</v>
      </c>
      <c r="Y29">
        <v>158408.8028</v>
      </c>
      <c r="Z29">
        <v>374825.86710000009</v>
      </c>
    </row>
    <row r="35" spans="3:22" x14ac:dyDescent="0.3">
      <c r="C35" t="s">
        <v>136</v>
      </c>
      <c r="D35">
        <f>10500000/SUM(C27:N27)</f>
        <v>456521.73913043475</v>
      </c>
      <c r="T35" s="75"/>
      <c r="V35" s="75"/>
    </row>
    <row r="36" spans="3:22" x14ac:dyDescent="0.3">
      <c r="C36" t="s">
        <v>137</v>
      </c>
      <c r="D36">
        <f>13000000/SUM(O27:Z27)</f>
        <v>565217.39130434778</v>
      </c>
    </row>
  </sheetData>
  <phoneticPr fontId="34"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D709C-0B14-470E-8B95-61EB916973C1}">
  <sheetPr codeName="Feuil4"/>
  <dimension ref="D3:U14"/>
  <sheetViews>
    <sheetView topLeftCell="C1" zoomScale="62" workbookViewId="0">
      <selection activeCell="I24" sqref="I24"/>
    </sheetView>
  </sheetViews>
  <sheetFormatPr baseColWidth="10" defaultRowHeight="14.4" x14ac:dyDescent="0.3"/>
  <cols>
    <col min="4" max="4" width="13.21875" bestFit="1" customWidth="1"/>
    <col min="5" max="5" width="18.44140625" customWidth="1"/>
    <col min="6" max="6" width="14.77734375" bestFit="1" customWidth="1"/>
    <col min="7" max="7" width="16.109375" bestFit="1" customWidth="1"/>
    <col min="8" max="8" width="14.77734375" bestFit="1" customWidth="1"/>
    <col min="9" max="9" width="16.109375" bestFit="1" customWidth="1"/>
    <col min="10" max="10" width="14.77734375" bestFit="1" customWidth="1"/>
    <col min="11" max="11" width="18.6640625" bestFit="1" customWidth="1"/>
    <col min="12" max="12" width="14.77734375" bestFit="1" customWidth="1"/>
    <col min="13" max="13" width="16.109375" bestFit="1" customWidth="1"/>
    <col min="14" max="14" width="14.77734375" bestFit="1" customWidth="1"/>
    <col min="15" max="15" width="16.109375" bestFit="1" customWidth="1"/>
    <col min="17" max="17" width="16.109375" bestFit="1" customWidth="1"/>
    <col min="18" max="18" width="14.77734375" bestFit="1" customWidth="1"/>
    <col min="19" max="19" width="16.109375" bestFit="1" customWidth="1"/>
    <col min="20" max="20" width="11.5546875" customWidth="1"/>
    <col min="21" max="21" width="16.109375" bestFit="1" customWidth="1"/>
  </cols>
  <sheetData>
    <row r="3" spans="4:21" x14ac:dyDescent="0.3">
      <c r="D3" s="46"/>
      <c r="F3" s="46"/>
      <c r="H3" s="46"/>
      <c r="J3" s="35"/>
      <c r="L3" s="35"/>
    </row>
    <row r="4" spans="4:21" ht="23.4" x14ac:dyDescent="0.45">
      <c r="D4" s="63"/>
      <c r="E4" s="64"/>
      <c r="F4" s="65"/>
      <c r="G4" s="65"/>
      <c r="H4" s="65"/>
      <c r="I4" s="65"/>
      <c r="J4" s="65"/>
      <c r="K4" s="65"/>
      <c r="L4" s="65"/>
      <c r="M4" s="65"/>
    </row>
    <row r="5" spans="4:21" ht="23.4" x14ac:dyDescent="0.45">
      <c r="D5" s="63"/>
      <c r="E5" s="64"/>
      <c r="F5" s="65"/>
      <c r="G5" s="66"/>
      <c r="H5" s="65"/>
      <c r="I5" s="65"/>
      <c r="J5" s="65"/>
      <c r="K5" s="65"/>
      <c r="L5" s="65"/>
      <c r="M5" s="65"/>
    </row>
    <row r="6" spans="4:21" ht="23.4" x14ac:dyDescent="0.45">
      <c r="D6" s="63"/>
      <c r="E6" s="63"/>
      <c r="F6" s="65"/>
      <c r="G6" s="65"/>
      <c r="H6" s="65"/>
      <c r="I6" s="65"/>
      <c r="J6" s="65"/>
      <c r="K6" s="65"/>
      <c r="L6" s="65"/>
      <c r="M6" s="65"/>
    </row>
    <row r="7" spans="4:21" ht="23.4" x14ac:dyDescent="0.45">
      <c r="D7" s="63"/>
      <c r="E7" s="64"/>
      <c r="F7" s="65"/>
      <c r="G7" s="66"/>
      <c r="H7" s="65"/>
      <c r="I7" s="66"/>
      <c r="J7" s="65"/>
      <c r="K7" s="66"/>
      <c r="L7" s="65"/>
      <c r="M7" s="66"/>
    </row>
    <row r="10" spans="4:21" x14ac:dyDescent="0.3">
      <c r="D10" s="46" t="s">
        <v>0</v>
      </c>
      <c r="F10" s="46" t="s">
        <v>34</v>
      </c>
      <c r="H10" s="46" t="s">
        <v>46</v>
      </c>
      <c r="J10" s="46" t="s">
        <v>15</v>
      </c>
      <c r="L10" s="46" t="s">
        <v>43</v>
      </c>
      <c r="N10" s="46" t="s">
        <v>47</v>
      </c>
      <c r="P10" s="46" t="s">
        <v>16</v>
      </c>
      <c r="R10" s="46" t="s">
        <v>44</v>
      </c>
      <c r="T10" s="46" t="s">
        <v>48</v>
      </c>
    </row>
    <row r="11" spans="4:21" ht="23.4" x14ac:dyDescent="0.45">
      <c r="D11" s="63" t="s">
        <v>120</v>
      </c>
      <c r="E11" s="64" t="s">
        <v>121</v>
      </c>
      <c r="F11" s="65" t="s">
        <v>120</v>
      </c>
      <c r="G11" s="65" t="s">
        <v>121</v>
      </c>
      <c r="H11" s="65" t="s">
        <v>120</v>
      </c>
      <c r="I11" s="65" t="s">
        <v>121</v>
      </c>
      <c r="J11" s="65" t="s">
        <v>120</v>
      </c>
      <c r="K11" s="65" t="s">
        <v>121</v>
      </c>
      <c r="L11" s="65" t="s">
        <v>120</v>
      </c>
      <c r="M11" s="65" t="s">
        <v>121</v>
      </c>
      <c r="N11" s="65" t="s">
        <v>120</v>
      </c>
      <c r="O11" s="65" t="s">
        <v>121</v>
      </c>
      <c r="P11" s="65" t="s">
        <v>120</v>
      </c>
      <c r="Q11" s="65" t="s">
        <v>121</v>
      </c>
      <c r="R11" s="65" t="s">
        <v>120</v>
      </c>
      <c r="S11" s="65" t="s">
        <v>121</v>
      </c>
      <c r="T11" s="65" t="s">
        <v>120</v>
      </c>
      <c r="U11" s="65" t="s">
        <v>121</v>
      </c>
    </row>
    <row r="12" spans="4:21" ht="23.4" x14ac:dyDescent="0.45">
      <c r="D12" s="63" t="s">
        <v>116</v>
      </c>
      <c r="E12" s="63">
        <v>324345</v>
      </c>
      <c r="F12" s="65" t="s">
        <v>116</v>
      </c>
      <c r="G12" s="65">
        <v>399297</v>
      </c>
      <c r="H12" s="65" t="s">
        <v>116</v>
      </c>
      <c r="I12" s="65">
        <v>368132</v>
      </c>
      <c r="J12" s="65" t="s">
        <v>116</v>
      </c>
      <c r="K12" s="65">
        <v>399992.83920682734</v>
      </c>
      <c r="L12" s="65" t="s">
        <v>116</v>
      </c>
      <c r="M12" s="65">
        <v>392790.71419646678</v>
      </c>
      <c r="N12" s="65" t="s">
        <v>116</v>
      </c>
      <c r="O12" s="65">
        <v>419952.37398208253</v>
      </c>
      <c r="P12" s="65" t="s">
        <v>116</v>
      </c>
      <c r="Q12" s="65">
        <v>403403.46352530801</v>
      </c>
      <c r="R12" s="65" t="s">
        <v>116</v>
      </c>
      <c r="S12" s="65">
        <v>441764.6090893154</v>
      </c>
      <c r="T12" s="65" t="s">
        <v>116</v>
      </c>
      <c r="U12" s="65">
        <v>508403</v>
      </c>
    </row>
    <row r="13" spans="4:21" ht="23.4" x14ac:dyDescent="0.45">
      <c r="D13" s="63" t="s">
        <v>122</v>
      </c>
      <c r="E13" s="63">
        <v>4000</v>
      </c>
      <c r="F13" s="65" t="s">
        <v>122</v>
      </c>
      <c r="G13" s="65">
        <v>75779</v>
      </c>
      <c r="H13" s="65" t="s">
        <v>122</v>
      </c>
      <c r="I13" s="65">
        <v>73551</v>
      </c>
      <c r="J13" s="65" t="s">
        <v>122</v>
      </c>
      <c r="K13" s="65">
        <f>K14-K12</f>
        <v>66089.168976913381</v>
      </c>
      <c r="L13" s="65" t="s">
        <v>122</v>
      </c>
      <c r="M13" s="65">
        <f>M14-M12</f>
        <v>64899.191531951365</v>
      </c>
      <c r="N13" s="65" t="s">
        <v>122</v>
      </c>
      <c r="O13" s="65">
        <f>O14-O12</f>
        <v>69387.000680796569</v>
      </c>
      <c r="P13" s="65" t="s">
        <v>122</v>
      </c>
      <c r="Q13" s="65">
        <f>Q14-Q12</f>
        <v>66652.692382351961</v>
      </c>
      <c r="R13" s="65" t="s">
        <v>122</v>
      </c>
      <c r="S13" s="65">
        <f>S14-S12</f>
        <v>72990.946427987015</v>
      </c>
      <c r="T13" s="65" t="s">
        <v>122</v>
      </c>
      <c r="U13" s="65">
        <f>102503+15458+34181</f>
        <v>152142</v>
      </c>
    </row>
    <row r="14" spans="4:21" ht="23.4" x14ac:dyDescent="0.45">
      <c r="D14" s="63" t="s">
        <v>123</v>
      </c>
      <c r="E14" s="63">
        <f>E12+E13</f>
        <v>328345</v>
      </c>
      <c r="F14" s="65" t="s">
        <v>123</v>
      </c>
      <c r="G14" s="65">
        <f>G12+G13</f>
        <v>475076</v>
      </c>
      <c r="H14" s="65" t="s">
        <v>124</v>
      </c>
      <c r="I14" s="65">
        <f>I12+I13</f>
        <v>441683</v>
      </c>
      <c r="J14" s="65" t="s">
        <v>124</v>
      </c>
      <c r="K14" s="65">
        <v>466082.00818374072</v>
      </c>
      <c r="L14" s="65" t="s">
        <v>124</v>
      </c>
      <c r="M14" s="65">
        <v>457689.90572841815</v>
      </c>
      <c r="N14" s="65" t="s">
        <v>124</v>
      </c>
      <c r="O14" s="65">
        <v>489339.3746628791</v>
      </c>
      <c r="P14" s="65" t="s">
        <v>124</v>
      </c>
      <c r="Q14" s="65">
        <v>470056.15590765997</v>
      </c>
      <c r="R14" s="65" t="s">
        <v>124</v>
      </c>
      <c r="S14" s="65">
        <v>514755.55551730242</v>
      </c>
      <c r="T14" s="65" t="s">
        <v>124</v>
      </c>
      <c r="U14" s="66">
        <f>U12+U13</f>
        <v>660545</v>
      </c>
    </row>
  </sheetData>
  <pageMargins left="0.7" right="0.7" top="0.75" bottom="0.75" header="0.3" footer="0.3"/>
  <tableParts count="9">
    <tablePart r:id="rId1"/>
    <tablePart r:id="rId2"/>
    <tablePart r:id="rId3"/>
    <tablePart r:id="rId4"/>
    <tablePart r:id="rId5"/>
    <tablePart r:id="rId6"/>
    <tablePart r:id="rId7"/>
    <tablePart r:id="rId8"/>
    <tablePart r:id="rId9"/>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4EA4E-FB80-4572-94EB-3C9752AE6C37}">
  <sheetPr codeName="Feuil8"/>
  <dimension ref="B1:Q169"/>
  <sheetViews>
    <sheetView topLeftCell="B160" zoomScale="116" workbookViewId="0">
      <selection activeCell="H169" sqref="H169"/>
    </sheetView>
  </sheetViews>
  <sheetFormatPr baseColWidth="10" defaultRowHeight="14.4" x14ac:dyDescent="0.3"/>
  <cols>
    <col min="4" max="6" width="14.44140625" bestFit="1" customWidth="1"/>
    <col min="7" max="7" width="14.77734375" bestFit="1" customWidth="1"/>
    <col min="8" max="8" width="14.44140625" bestFit="1" customWidth="1"/>
    <col min="9" max="10" width="12.77734375" bestFit="1" customWidth="1"/>
    <col min="12" max="16" width="12.77734375" bestFit="1" customWidth="1"/>
  </cols>
  <sheetData>
    <row r="1" spans="3:17" x14ac:dyDescent="0.3">
      <c r="D1" s="74" t="s">
        <v>127</v>
      </c>
      <c r="E1" s="74"/>
      <c r="F1" s="74"/>
      <c r="G1" s="74"/>
      <c r="H1" s="74"/>
      <c r="I1" s="74"/>
      <c r="L1" s="74" t="s">
        <v>126</v>
      </c>
      <c r="M1" s="74"/>
      <c r="N1" s="74"/>
      <c r="O1" s="74"/>
      <c r="P1" s="74"/>
      <c r="Q1" s="74"/>
    </row>
    <row r="2" spans="3:17" x14ac:dyDescent="0.3">
      <c r="D2" s="74"/>
      <c r="E2" s="74"/>
      <c r="F2" s="74"/>
      <c r="G2" s="74"/>
      <c r="H2" s="74"/>
      <c r="I2" s="74"/>
      <c r="L2" s="74"/>
      <c r="M2" s="74"/>
      <c r="N2" s="74"/>
      <c r="O2" s="74"/>
      <c r="P2" s="74"/>
      <c r="Q2" s="74"/>
    </row>
    <row r="3" spans="3:17" x14ac:dyDescent="0.3">
      <c r="D3" t="s">
        <v>15</v>
      </c>
      <c r="E3" t="s">
        <v>43</v>
      </c>
      <c r="F3" t="s">
        <v>47</v>
      </c>
      <c r="G3" t="s">
        <v>16</v>
      </c>
      <c r="H3" t="s">
        <v>44</v>
      </c>
      <c r="I3" t="s">
        <v>4</v>
      </c>
      <c r="L3" t="s">
        <v>15</v>
      </c>
      <c r="M3" t="s">
        <v>43</v>
      </c>
      <c r="N3" t="s">
        <v>47</v>
      </c>
      <c r="O3" t="s">
        <v>16</v>
      </c>
      <c r="P3" t="s">
        <v>44</v>
      </c>
      <c r="Q3" t="s">
        <v>4</v>
      </c>
    </row>
    <row r="4" spans="3:17" ht="23.4" x14ac:dyDescent="0.3">
      <c r="C4" s="12">
        <f>SUM(D4:H4)</f>
        <v>14983</v>
      </c>
      <c r="D4" s="67">
        <f>(L4/$Q4)*$I4</f>
        <v>3630.5043894571363</v>
      </c>
      <c r="E4" s="67">
        <f t="shared" ref="E4:H5" si="0">(M4/$Q4)*$I4</f>
        <v>2833.3443069761743</v>
      </c>
      <c r="F4" s="67">
        <f t="shared" si="0"/>
        <v>2638.3368040668834</v>
      </c>
      <c r="G4" s="67">
        <f t="shared" si="0"/>
        <v>2741.5760703129786</v>
      </c>
      <c r="H4" s="67">
        <f t="shared" si="0"/>
        <v>3139.2384291868275</v>
      </c>
      <c r="I4" s="12">
        <v>14983</v>
      </c>
      <c r="L4" s="67">
        <v>949.48</v>
      </c>
      <c r="M4" s="68">
        <v>741</v>
      </c>
      <c r="N4" s="68">
        <v>690</v>
      </c>
      <c r="O4" s="68">
        <v>717</v>
      </c>
      <c r="P4" s="68">
        <v>821</v>
      </c>
      <c r="Q4" s="12">
        <f>SUM(L4:P4)</f>
        <v>3918.48</v>
      </c>
    </row>
    <row r="5" spans="3:17" ht="23.4" x14ac:dyDescent="0.3">
      <c r="C5" s="12">
        <f t="shared" ref="C5:C68" si="1">SUM(D5:H5)</f>
        <v>11806</v>
      </c>
      <c r="D5" s="67">
        <f>(L5/$Q5)*$I5</f>
        <v>2280.9814472044145</v>
      </c>
      <c r="E5" s="67">
        <f t="shared" si="0"/>
        <v>2513.8816939033413</v>
      </c>
      <c r="F5" s="67">
        <f t="shared" si="0"/>
        <v>2803.7750405167722</v>
      </c>
      <c r="G5" s="67">
        <f t="shared" si="0"/>
        <v>2110.4779395889886</v>
      </c>
      <c r="H5" s="67">
        <f t="shared" si="0"/>
        <v>2096.8838787864834</v>
      </c>
      <c r="I5" s="12">
        <v>11806</v>
      </c>
      <c r="L5" s="67">
        <v>671.17</v>
      </c>
      <c r="M5" s="68">
        <v>739.7</v>
      </c>
      <c r="N5" s="68">
        <v>825</v>
      </c>
      <c r="O5" s="68">
        <v>621</v>
      </c>
      <c r="P5" s="68">
        <v>617</v>
      </c>
      <c r="Q5" s="12">
        <f t="shared" ref="Q5:Q68" si="2">SUM(L5:P5)</f>
        <v>3473.87</v>
      </c>
    </row>
    <row r="6" spans="3:17" ht="23.4" x14ac:dyDescent="0.3">
      <c r="C6" s="12">
        <f t="shared" si="1"/>
        <v>15811</v>
      </c>
      <c r="D6" s="67">
        <f t="shared" ref="D6:D69" si="3">(L6/$Q6)*$I6</f>
        <v>2785.5920628044273</v>
      </c>
      <c r="E6" s="67">
        <f t="shared" ref="E6:E69" si="4">(M6/$Q6)*$I6</f>
        <v>3496.6220876307266</v>
      </c>
      <c r="F6" s="67">
        <f t="shared" ref="F6:F69" si="5">(N6/$Q6)*$I6</f>
        <v>2783.6601546228571</v>
      </c>
      <c r="G6" s="67">
        <f t="shared" ref="G6:G69" si="6">(O6/$Q6)*$I6</f>
        <v>3311.5979722411985</v>
      </c>
      <c r="H6" s="67">
        <f t="shared" ref="H6:H69" si="7">(P6/$Q6)*$I6</f>
        <v>3433.5277227007905</v>
      </c>
      <c r="I6" s="12">
        <v>15811</v>
      </c>
      <c r="L6" s="67">
        <v>634.42999999999995</v>
      </c>
      <c r="M6" s="68">
        <v>796.37</v>
      </c>
      <c r="N6" s="68">
        <v>633.99</v>
      </c>
      <c r="O6" s="68">
        <v>754.23</v>
      </c>
      <c r="P6" s="68">
        <v>782</v>
      </c>
      <c r="Q6" s="12">
        <f t="shared" si="2"/>
        <v>3601.02</v>
      </c>
    </row>
    <row r="7" spans="3:17" ht="23.4" x14ac:dyDescent="0.3">
      <c r="C7" s="12">
        <f t="shared" si="1"/>
        <v>7775</v>
      </c>
      <c r="D7" s="67">
        <f t="shared" si="3"/>
        <v>741.11114351824847</v>
      </c>
      <c r="E7" s="67">
        <f t="shared" si="4"/>
        <v>1767.013844329075</v>
      </c>
      <c r="F7" s="67">
        <f t="shared" si="5"/>
        <v>1953.0248497929183</v>
      </c>
      <c r="G7" s="67">
        <f t="shared" si="6"/>
        <v>1384.802348869315</v>
      </c>
      <c r="H7" s="67">
        <f t="shared" si="7"/>
        <v>1929.0478134904433</v>
      </c>
      <c r="I7" s="12">
        <v>7775</v>
      </c>
      <c r="L7" s="67">
        <v>245.11</v>
      </c>
      <c r="M7" s="68">
        <v>584.41</v>
      </c>
      <c r="N7" s="68">
        <v>645.92999999999995</v>
      </c>
      <c r="O7" s="68">
        <v>458</v>
      </c>
      <c r="P7" s="68">
        <v>638</v>
      </c>
      <c r="Q7" s="12">
        <f t="shared" si="2"/>
        <v>2571.4499999999998</v>
      </c>
    </row>
    <row r="8" spans="3:17" ht="23.4" x14ac:dyDescent="0.3">
      <c r="C8" s="12">
        <f t="shared" si="1"/>
        <v>26816</v>
      </c>
      <c r="D8" s="67">
        <f t="shared" si="3"/>
        <v>4650.5694760820043</v>
      </c>
      <c r="E8" s="67">
        <f t="shared" si="4"/>
        <v>4578.4783599088842</v>
      </c>
      <c r="F8" s="67">
        <f t="shared" si="5"/>
        <v>6549.6856492027337</v>
      </c>
      <c r="G8" s="67">
        <f t="shared" si="6"/>
        <v>5559.3621867881548</v>
      </c>
      <c r="H8" s="67">
        <f t="shared" si="7"/>
        <v>5477.9043280182241</v>
      </c>
      <c r="I8" s="12">
        <v>26816</v>
      </c>
      <c r="L8" s="67">
        <v>1276</v>
      </c>
      <c r="M8" s="68">
        <v>1256.22</v>
      </c>
      <c r="N8" s="68">
        <v>1797.07</v>
      </c>
      <c r="O8" s="68">
        <v>1525.35</v>
      </c>
      <c r="P8" s="68">
        <v>1503</v>
      </c>
      <c r="Q8" s="12">
        <f t="shared" si="2"/>
        <v>7357.6399999999994</v>
      </c>
    </row>
    <row r="9" spans="3:17" ht="23.4" x14ac:dyDescent="0.3">
      <c r="C9" s="12">
        <f t="shared" si="1"/>
        <v>18210</v>
      </c>
      <c r="D9" s="67">
        <f t="shared" si="3"/>
        <v>3854.9463137710127</v>
      </c>
      <c r="E9" s="67">
        <f t="shared" si="4"/>
        <v>2956.4801025262877</v>
      </c>
      <c r="F9" s="67">
        <f t="shared" si="5"/>
        <v>3591.5193629459563</v>
      </c>
      <c r="G9" s="67">
        <f t="shared" si="6"/>
        <v>3386.1137739108594</v>
      </c>
      <c r="H9" s="67">
        <f t="shared" si="7"/>
        <v>4420.9404468458833</v>
      </c>
      <c r="I9" s="12">
        <v>18210</v>
      </c>
      <c r="L9" s="67">
        <v>1314.85</v>
      </c>
      <c r="M9" s="68">
        <v>1008.4</v>
      </c>
      <c r="N9" s="68">
        <v>1225</v>
      </c>
      <c r="O9" s="68">
        <v>1154.94</v>
      </c>
      <c r="P9" s="68">
        <v>1507.8999999999999</v>
      </c>
      <c r="Q9" s="12">
        <f t="shared" si="2"/>
        <v>6211.09</v>
      </c>
    </row>
    <row r="10" spans="3:17" ht="23.4" x14ac:dyDescent="0.3">
      <c r="C10" s="12">
        <f t="shared" si="1"/>
        <v>18047</v>
      </c>
      <c r="D10" s="67">
        <f t="shared" si="3"/>
        <v>4290.16095519582</v>
      </c>
      <c r="E10" s="67">
        <f t="shared" si="4"/>
        <v>3813.7228955955061</v>
      </c>
      <c r="F10" s="67">
        <f t="shared" si="5"/>
        <v>3620.5573415765066</v>
      </c>
      <c r="G10" s="67">
        <f t="shared" si="6"/>
        <v>3112.3763189529718</v>
      </c>
      <c r="H10" s="67">
        <f t="shared" si="7"/>
        <v>3210.1824886791942</v>
      </c>
      <c r="I10" s="12">
        <v>18047</v>
      </c>
      <c r="L10" s="67">
        <v>1315.04</v>
      </c>
      <c r="M10" s="68">
        <v>1169</v>
      </c>
      <c r="N10" s="68">
        <v>1109.79</v>
      </c>
      <c r="O10" s="68">
        <v>954.02</v>
      </c>
      <c r="P10" s="68">
        <v>984</v>
      </c>
      <c r="Q10" s="12">
        <f t="shared" si="2"/>
        <v>5531.85</v>
      </c>
    </row>
    <row r="11" spans="3:17" ht="23.4" x14ac:dyDescent="0.3">
      <c r="C11" s="12">
        <f t="shared" si="1"/>
        <v>25084.000000000004</v>
      </c>
      <c r="D11" s="67">
        <f t="shared" si="3"/>
        <v>6137.7391814494813</v>
      </c>
      <c r="E11" s="67">
        <f t="shared" si="4"/>
        <v>5147.7610875348682</v>
      </c>
      <c r="F11" s="67">
        <f t="shared" si="5"/>
        <v>4585.2573925393372</v>
      </c>
      <c r="G11" s="67">
        <f t="shared" si="6"/>
        <v>4497.3022693218536</v>
      </c>
      <c r="H11" s="67">
        <f t="shared" si="7"/>
        <v>4715.9400691544606</v>
      </c>
      <c r="I11" s="12">
        <v>25084</v>
      </c>
      <c r="L11" s="67">
        <v>2160.4700000000003</v>
      </c>
      <c r="M11" s="68">
        <v>1812</v>
      </c>
      <c r="N11" s="68">
        <v>1614</v>
      </c>
      <c r="O11" s="68">
        <v>1583.04</v>
      </c>
      <c r="P11" s="68">
        <v>1660</v>
      </c>
      <c r="Q11" s="12">
        <f t="shared" si="2"/>
        <v>8829.51</v>
      </c>
    </row>
    <row r="12" spans="3:17" ht="23.4" x14ac:dyDescent="0.3">
      <c r="C12" s="12">
        <f t="shared" si="1"/>
        <v>27381</v>
      </c>
      <c r="D12" s="67">
        <f t="shared" si="3"/>
        <v>6097.2905473186047</v>
      </c>
      <c r="E12" s="67">
        <f t="shared" si="4"/>
        <v>5209.2673499949587</v>
      </c>
      <c r="F12" s="67">
        <f t="shared" si="5"/>
        <v>4634.0958947504832</v>
      </c>
      <c r="G12" s="67">
        <f t="shared" si="6"/>
        <v>6439.7123973447624</v>
      </c>
      <c r="H12" s="67">
        <f t="shared" si="7"/>
        <v>5000.6338105911873</v>
      </c>
      <c r="I12" s="12">
        <v>27381</v>
      </c>
      <c r="L12" s="67">
        <v>1855.7800000000002</v>
      </c>
      <c r="M12" s="68">
        <v>1585.5</v>
      </c>
      <c r="N12" s="68">
        <v>1410.44</v>
      </c>
      <c r="O12" s="68">
        <v>1960</v>
      </c>
      <c r="P12" s="68">
        <v>1522</v>
      </c>
      <c r="Q12" s="12">
        <f t="shared" si="2"/>
        <v>8333.7200000000012</v>
      </c>
    </row>
    <row r="13" spans="3:17" ht="23.4" x14ac:dyDescent="0.3">
      <c r="C13" s="12">
        <f t="shared" si="1"/>
        <v>35500</v>
      </c>
      <c r="D13" s="67">
        <f t="shared" si="3"/>
        <v>7242.5622134569821</v>
      </c>
      <c r="E13" s="67">
        <f t="shared" si="4"/>
        <v>6013.3315215469183</v>
      </c>
      <c r="F13" s="67">
        <f t="shared" si="5"/>
        <v>6625.9644505168253</v>
      </c>
      <c r="G13" s="67">
        <f t="shared" si="6"/>
        <v>7579.4409397959507</v>
      </c>
      <c r="H13" s="67">
        <f t="shared" si="7"/>
        <v>8038.7008746833262</v>
      </c>
      <c r="I13" s="12">
        <v>35500</v>
      </c>
      <c r="L13" s="67">
        <v>2192.04</v>
      </c>
      <c r="M13" s="68">
        <v>1820</v>
      </c>
      <c r="N13" s="68">
        <v>2005.42</v>
      </c>
      <c r="O13" s="68">
        <v>2294</v>
      </c>
      <c r="P13" s="68">
        <v>2433</v>
      </c>
      <c r="Q13" s="12">
        <f t="shared" si="2"/>
        <v>10744.46</v>
      </c>
    </row>
    <row r="14" spans="3:17" ht="23.4" x14ac:dyDescent="0.3">
      <c r="C14" s="12">
        <f t="shared" si="1"/>
        <v>26011</v>
      </c>
      <c r="D14" s="67">
        <f t="shared" si="3"/>
        <v>6172.0519918952514</v>
      </c>
      <c r="E14" s="67">
        <f t="shared" si="4"/>
        <v>4773.6943411865041</v>
      </c>
      <c r="F14" s="67">
        <f t="shared" si="5"/>
        <v>5389.6233693161594</v>
      </c>
      <c r="G14" s="67">
        <f t="shared" si="6"/>
        <v>5018.9635578632442</v>
      </c>
      <c r="H14" s="67">
        <f t="shared" si="7"/>
        <v>4656.6667397388401</v>
      </c>
      <c r="I14" s="12">
        <v>26011</v>
      </c>
      <c r="L14" s="67">
        <v>2273.1</v>
      </c>
      <c r="M14" s="68">
        <v>1758.1</v>
      </c>
      <c r="N14" s="68">
        <v>1984.94</v>
      </c>
      <c r="O14" s="68">
        <v>1848.43</v>
      </c>
      <c r="P14" s="68">
        <v>1715</v>
      </c>
      <c r="Q14" s="12">
        <f t="shared" si="2"/>
        <v>9579.57</v>
      </c>
    </row>
    <row r="15" spans="3:17" ht="23.4" x14ac:dyDescent="0.3">
      <c r="C15" s="12">
        <f t="shared" si="1"/>
        <v>11889.000000000002</v>
      </c>
      <c r="D15" s="67">
        <f t="shared" si="3"/>
        <v>1373.1185603657184</v>
      </c>
      <c r="E15" s="67">
        <f t="shared" si="4"/>
        <v>4769.7419941748021</v>
      </c>
      <c r="F15" s="67">
        <f t="shared" si="5"/>
        <v>2677.1934088111857</v>
      </c>
      <c r="G15" s="67">
        <f t="shared" si="6"/>
        <v>936.13457583842342</v>
      </c>
      <c r="H15" s="67">
        <f t="shared" si="7"/>
        <v>2132.8114608098708</v>
      </c>
      <c r="I15" s="12">
        <v>11889</v>
      </c>
      <c r="L15" s="67">
        <v>453.24</v>
      </c>
      <c r="M15" s="68">
        <v>1574.4</v>
      </c>
      <c r="N15" s="68">
        <v>883.69</v>
      </c>
      <c r="O15" s="68">
        <v>309</v>
      </c>
      <c r="P15" s="68">
        <v>704</v>
      </c>
      <c r="Q15" s="12">
        <f t="shared" si="2"/>
        <v>3924.33</v>
      </c>
    </row>
    <row r="16" spans="3:17" ht="23.4" x14ac:dyDescent="0.3">
      <c r="C16" s="12">
        <f t="shared" si="1"/>
        <v>9070</v>
      </c>
      <c r="D16" s="67">
        <f t="shared" si="3"/>
        <v>1271.6736801836269</v>
      </c>
      <c r="E16" s="67">
        <f t="shared" si="4"/>
        <v>1783.0804216611409</v>
      </c>
      <c r="F16" s="67">
        <f t="shared" si="5"/>
        <v>1908.3137096545668</v>
      </c>
      <c r="G16" s="67">
        <f t="shared" si="6"/>
        <v>1890.1295021111396</v>
      </c>
      <c r="H16" s="67">
        <f t="shared" si="7"/>
        <v>2216.8026863895266</v>
      </c>
      <c r="I16" s="12">
        <v>9070</v>
      </c>
      <c r="L16" s="67">
        <v>197.91</v>
      </c>
      <c r="M16" s="68">
        <v>277.5</v>
      </c>
      <c r="N16" s="68">
        <v>296.99</v>
      </c>
      <c r="O16" s="68">
        <v>294.16000000000003</v>
      </c>
      <c r="P16" s="68">
        <v>345</v>
      </c>
      <c r="Q16" s="12">
        <f t="shared" si="2"/>
        <v>1411.56</v>
      </c>
    </row>
    <row r="17" spans="3:17" ht="23.4" x14ac:dyDescent="0.3">
      <c r="C17" s="12">
        <f t="shared" si="1"/>
        <v>14200.999999999998</v>
      </c>
      <c r="D17" s="67">
        <f t="shared" si="3"/>
        <v>3036.6013654521958</v>
      </c>
      <c r="E17" s="67">
        <f t="shared" si="4"/>
        <v>3440.1581820455785</v>
      </c>
      <c r="F17" s="67">
        <f t="shared" si="5"/>
        <v>2379.6897127596699</v>
      </c>
      <c r="G17" s="67">
        <f t="shared" si="6"/>
        <v>1339.6289319897885</v>
      </c>
      <c r="H17" s="67">
        <f t="shared" si="7"/>
        <v>4004.9218077527662</v>
      </c>
      <c r="I17" s="12">
        <v>14201</v>
      </c>
      <c r="L17" s="67">
        <v>871.95</v>
      </c>
      <c r="M17" s="68">
        <v>987.83</v>
      </c>
      <c r="N17" s="68">
        <v>683.32</v>
      </c>
      <c r="O17" s="68">
        <v>384.67</v>
      </c>
      <c r="P17" s="68">
        <v>1150</v>
      </c>
      <c r="Q17" s="12">
        <f t="shared" si="2"/>
        <v>4077.7700000000004</v>
      </c>
    </row>
    <row r="18" spans="3:17" ht="23.4" x14ac:dyDescent="0.3">
      <c r="C18" s="12">
        <f t="shared" si="1"/>
        <v>15291</v>
      </c>
      <c r="D18" s="67">
        <f t="shared" si="3"/>
        <v>3303.5376784359842</v>
      </c>
      <c r="E18" s="67">
        <f t="shared" si="4"/>
        <v>4107.753326717524</v>
      </c>
      <c r="F18" s="67">
        <f t="shared" si="5"/>
        <v>3145.8088913865099</v>
      </c>
      <c r="G18" s="67">
        <f t="shared" si="6"/>
        <v>3174.2452732431698</v>
      </c>
      <c r="H18" s="67">
        <f t="shared" si="7"/>
        <v>1559.6548302168112</v>
      </c>
      <c r="I18" s="12">
        <v>15291</v>
      </c>
      <c r="L18" s="67">
        <v>1330.18</v>
      </c>
      <c r="M18" s="68">
        <v>1654</v>
      </c>
      <c r="N18" s="68">
        <v>1266.67</v>
      </c>
      <c r="O18" s="68">
        <v>1278.1199999999999</v>
      </c>
      <c r="P18" s="68">
        <v>628</v>
      </c>
      <c r="Q18" s="12">
        <f t="shared" si="2"/>
        <v>6156.97</v>
      </c>
    </row>
    <row r="19" spans="3:17" ht="23.4" x14ac:dyDescent="0.3">
      <c r="C19" s="12">
        <f t="shared" si="1"/>
        <v>15134.999999999998</v>
      </c>
      <c r="D19" s="67">
        <f t="shared" si="3"/>
        <v>3088.8518965037556</v>
      </c>
      <c r="E19" s="67">
        <f t="shared" si="4"/>
        <v>3465.9519614207547</v>
      </c>
      <c r="F19" s="67">
        <f t="shared" si="5"/>
        <v>3059.126804538007</v>
      </c>
      <c r="G19" s="67">
        <f t="shared" si="6"/>
        <v>2748.1830041114099</v>
      </c>
      <c r="H19" s="67">
        <f t="shared" si="7"/>
        <v>2772.8863334260718</v>
      </c>
      <c r="I19" s="12">
        <v>15135</v>
      </c>
      <c r="L19" s="67">
        <v>990.3</v>
      </c>
      <c r="M19" s="68">
        <v>1111.2</v>
      </c>
      <c r="N19" s="68">
        <v>980.77</v>
      </c>
      <c r="O19" s="68">
        <v>881.08</v>
      </c>
      <c r="P19" s="68">
        <v>889</v>
      </c>
      <c r="Q19" s="12">
        <f t="shared" si="2"/>
        <v>4852.3500000000004</v>
      </c>
    </row>
    <row r="20" spans="3:17" ht="23.4" x14ac:dyDescent="0.3">
      <c r="C20" s="12">
        <f t="shared" si="1"/>
        <v>17295</v>
      </c>
      <c r="D20" s="67">
        <f t="shared" si="3"/>
        <v>3903.1364465178435</v>
      </c>
      <c r="E20" s="67">
        <f t="shared" si="4"/>
        <v>2753.2714399568508</v>
      </c>
      <c r="F20" s="67">
        <f t="shared" si="5"/>
        <v>4473.9442637599732</v>
      </c>
      <c r="G20" s="67">
        <f t="shared" si="6"/>
        <v>1649.8744153470889</v>
      </c>
      <c r="H20" s="67">
        <f t="shared" si="7"/>
        <v>4514.7734344182454</v>
      </c>
      <c r="I20" s="12">
        <v>17295</v>
      </c>
      <c r="L20" s="67">
        <v>1121.3499999999999</v>
      </c>
      <c r="M20" s="68">
        <v>791</v>
      </c>
      <c r="N20" s="68">
        <v>1285.3399999999999</v>
      </c>
      <c r="O20" s="68">
        <v>474</v>
      </c>
      <c r="P20" s="68">
        <v>1297.07</v>
      </c>
      <c r="Q20" s="12">
        <f t="shared" si="2"/>
        <v>4968.7599999999993</v>
      </c>
    </row>
    <row r="21" spans="3:17" ht="23.4" x14ac:dyDescent="0.3">
      <c r="C21" s="12"/>
      <c r="D21" s="67">
        <v>0</v>
      </c>
      <c r="E21" s="67">
        <v>0</v>
      </c>
      <c r="F21" s="67">
        <v>0</v>
      </c>
      <c r="G21" s="67">
        <v>0</v>
      </c>
      <c r="H21" s="67">
        <v>0</v>
      </c>
      <c r="I21" s="12">
        <v>0</v>
      </c>
      <c r="L21" s="67">
        <v>0</v>
      </c>
      <c r="M21" s="68">
        <v>0</v>
      </c>
      <c r="N21" s="68">
        <v>0</v>
      </c>
      <c r="O21" s="68">
        <v>0</v>
      </c>
      <c r="P21" s="68">
        <v>0</v>
      </c>
      <c r="Q21" s="12">
        <f t="shared" si="2"/>
        <v>0</v>
      </c>
    </row>
    <row r="22" spans="3:17" ht="23.4" x14ac:dyDescent="0.3">
      <c r="C22" s="12">
        <f t="shared" si="1"/>
        <v>11442</v>
      </c>
      <c r="D22" s="67">
        <f t="shared" si="3"/>
        <v>0</v>
      </c>
      <c r="E22" s="67">
        <f t="shared" si="4"/>
        <v>2682.07855182605</v>
      </c>
      <c r="F22" s="67">
        <f t="shared" si="5"/>
        <v>3554.5401097741187</v>
      </c>
      <c r="G22" s="67">
        <f t="shared" si="6"/>
        <v>2117.5469706565336</v>
      </c>
      <c r="H22" s="67">
        <f t="shared" si="7"/>
        <v>3087.8343677432972</v>
      </c>
      <c r="I22" s="12">
        <v>11442</v>
      </c>
      <c r="L22" s="67">
        <v>0</v>
      </c>
      <c r="M22" s="68">
        <v>666.23</v>
      </c>
      <c r="N22" s="68">
        <v>882.95</v>
      </c>
      <c r="O22" s="68">
        <v>526</v>
      </c>
      <c r="P22" s="68">
        <v>767.02</v>
      </c>
      <c r="Q22" s="12">
        <f t="shared" si="2"/>
        <v>2842.2000000000003</v>
      </c>
    </row>
    <row r="23" spans="3:17" ht="23.4" x14ac:dyDescent="0.3">
      <c r="C23" s="12">
        <f t="shared" si="1"/>
        <v>15909.999999999998</v>
      </c>
      <c r="D23" s="67">
        <f t="shared" si="3"/>
        <v>4408.4819408363364</v>
      </c>
      <c r="E23" s="67">
        <f t="shared" si="4"/>
        <v>3474.4034338783695</v>
      </c>
      <c r="F23" s="67">
        <f t="shared" si="5"/>
        <v>3290.0582172029121</v>
      </c>
      <c r="G23" s="67">
        <f t="shared" si="6"/>
        <v>2556.7556109848615</v>
      </c>
      <c r="H23" s="67">
        <f t="shared" si="7"/>
        <v>2180.3007970975195</v>
      </c>
      <c r="I23" s="12">
        <v>15910</v>
      </c>
      <c r="L23" s="67">
        <v>1124.21</v>
      </c>
      <c r="M23" s="68">
        <v>886.01</v>
      </c>
      <c r="N23" s="68">
        <v>839</v>
      </c>
      <c r="O23" s="68">
        <v>652</v>
      </c>
      <c r="P23" s="68">
        <v>556</v>
      </c>
      <c r="Q23" s="12">
        <f t="shared" si="2"/>
        <v>4057.2200000000003</v>
      </c>
    </row>
    <row r="24" spans="3:17" ht="23.4" x14ac:dyDescent="0.3">
      <c r="C24" s="12">
        <f t="shared" si="1"/>
        <v>17537</v>
      </c>
      <c r="D24" s="67">
        <f t="shared" si="3"/>
        <v>3764.5411698537687</v>
      </c>
      <c r="E24" s="67">
        <f t="shared" si="4"/>
        <v>3463.0011248593928</v>
      </c>
      <c r="F24" s="67">
        <f t="shared" si="5"/>
        <v>3118.9515185601799</v>
      </c>
      <c r="G24" s="67">
        <f t="shared" si="6"/>
        <v>3134.038245219348</v>
      </c>
      <c r="H24" s="67">
        <f t="shared" si="7"/>
        <v>4056.4679415073115</v>
      </c>
      <c r="I24" s="12">
        <v>17537</v>
      </c>
      <c r="L24" s="67">
        <v>1354.93</v>
      </c>
      <c r="M24" s="68">
        <v>1246.4000000000001</v>
      </c>
      <c r="N24" s="68">
        <v>1122.57</v>
      </c>
      <c r="O24" s="68">
        <v>1128</v>
      </c>
      <c r="P24" s="68">
        <v>1460</v>
      </c>
      <c r="Q24" s="12">
        <f t="shared" si="2"/>
        <v>6311.9</v>
      </c>
    </row>
    <row r="25" spans="3:17" ht="23.4" x14ac:dyDescent="0.3">
      <c r="C25" s="12">
        <f t="shared" si="1"/>
        <v>14174</v>
      </c>
      <c r="D25" s="67">
        <f t="shared" si="3"/>
        <v>2865.999179569274</v>
      </c>
      <c r="E25" s="67">
        <f t="shared" si="4"/>
        <v>2925.10035268516</v>
      </c>
      <c r="F25" s="67">
        <f t="shared" si="5"/>
        <v>2944.2807573976343</v>
      </c>
      <c r="G25" s="67">
        <f t="shared" si="6"/>
        <v>2425.0271392481054</v>
      </c>
      <c r="H25" s="67">
        <f t="shared" si="7"/>
        <v>3013.5925710998276</v>
      </c>
      <c r="I25" s="12">
        <v>14174</v>
      </c>
      <c r="L25" s="67">
        <v>808.38</v>
      </c>
      <c r="M25" s="68">
        <v>825.05</v>
      </c>
      <c r="N25" s="68">
        <v>830.46</v>
      </c>
      <c r="O25" s="68">
        <v>684</v>
      </c>
      <c r="P25" s="68">
        <v>850.01</v>
      </c>
      <c r="Q25" s="12">
        <f t="shared" si="2"/>
        <v>3997.8999999999996</v>
      </c>
    </row>
    <row r="26" spans="3:17" ht="23.4" x14ac:dyDescent="0.3">
      <c r="C26" s="12">
        <f t="shared" si="1"/>
        <v>25351</v>
      </c>
      <c r="D26" s="67">
        <f t="shared" si="3"/>
        <v>5614.0176778384093</v>
      </c>
      <c r="E26" s="67">
        <f t="shared" si="4"/>
        <v>5288.8580611066045</v>
      </c>
      <c r="F26" s="67">
        <f t="shared" si="5"/>
        <v>6643.3587570361078</v>
      </c>
      <c r="G26" s="67">
        <f t="shared" si="6"/>
        <v>2726.2154954157759</v>
      </c>
      <c r="H26" s="67">
        <f t="shared" si="7"/>
        <v>5078.5500086031025</v>
      </c>
      <c r="I26" s="12">
        <v>25351</v>
      </c>
      <c r="L26" s="67">
        <v>1441.49</v>
      </c>
      <c r="M26" s="68">
        <v>1358</v>
      </c>
      <c r="N26" s="68">
        <v>1705.79</v>
      </c>
      <c r="O26" s="68">
        <v>700</v>
      </c>
      <c r="P26" s="68">
        <v>1304</v>
      </c>
      <c r="Q26" s="12">
        <f t="shared" si="2"/>
        <v>6509.28</v>
      </c>
    </row>
    <row r="27" spans="3:17" ht="23.4" x14ac:dyDescent="0.3">
      <c r="C27" s="12">
        <f t="shared" si="1"/>
        <v>13206</v>
      </c>
      <c r="D27" s="67">
        <f t="shared" si="3"/>
        <v>2329.1679225508096</v>
      </c>
      <c r="E27" s="67">
        <f t="shared" si="4"/>
        <v>2716.1402081014789</v>
      </c>
      <c r="F27" s="67">
        <f t="shared" si="5"/>
        <v>2084.9986839688386</v>
      </c>
      <c r="G27" s="67">
        <f t="shared" si="6"/>
        <v>2354.3667815582758</v>
      </c>
      <c r="H27" s="67">
        <f t="shared" si="7"/>
        <v>3721.3264038205962</v>
      </c>
      <c r="I27" s="12">
        <v>13206</v>
      </c>
      <c r="L27" s="67">
        <v>816.17</v>
      </c>
      <c r="M27" s="68">
        <v>951.77</v>
      </c>
      <c r="N27" s="68">
        <v>730.61</v>
      </c>
      <c r="O27" s="68">
        <v>825</v>
      </c>
      <c r="P27" s="68">
        <v>1304</v>
      </c>
      <c r="Q27" s="12">
        <f t="shared" si="2"/>
        <v>4627.55</v>
      </c>
    </row>
    <row r="28" spans="3:17" ht="23.4" x14ac:dyDescent="0.3">
      <c r="C28" s="12">
        <f t="shared" si="1"/>
        <v>16388.999999999996</v>
      </c>
      <c r="D28" s="67">
        <f t="shared" si="3"/>
        <v>4338.9252354333712</v>
      </c>
      <c r="E28" s="67">
        <f t="shared" si="4"/>
        <v>2481.9967301576794</v>
      </c>
      <c r="F28" s="67">
        <f t="shared" si="5"/>
        <v>3296.9899778387849</v>
      </c>
      <c r="G28" s="67">
        <f t="shared" si="6"/>
        <v>2828.8180205168428</v>
      </c>
      <c r="H28" s="67">
        <f t="shared" si="7"/>
        <v>3442.2700360533186</v>
      </c>
      <c r="I28" s="12">
        <v>16389</v>
      </c>
      <c r="L28" s="67">
        <v>1120.57</v>
      </c>
      <c r="M28" s="68">
        <v>641</v>
      </c>
      <c r="N28" s="68">
        <v>851.48</v>
      </c>
      <c r="O28" s="68">
        <v>730.57</v>
      </c>
      <c r="P28" s="68">
        <v>889</v>
      </c>
      <c r="Q28" s="12">
        <f t="shared" si="2"/>
        <v>4232.6200000000008</v>
      </c>
    </row>
    <row r="29" spans="3:17" ht="23.4" x14ac:dyDescent="0.3">
      <c r="C29" s="12">
        <f t="shared" si="1"/>
        <v>16926</v>
      </c>
      <c r="D29" s="67">
        <f t="shared" si="3"/>
        <v>3242.6364102290322</v>
      </c>
      <c r="E29" s="67">
        <f t="shared" si="4"/>
        <v>3638.639688217394</v>
      </c>
      <c r="F29" s="67">
        <f t="shared" si="5"/>
        <v>2891.6341893118361</v>
      </c>
      <c r="G29" s="67">
        <f t="shared" si="6"/>
        <v>3303.3004858256372</v>
      </c>
      <c r="H29" s="67">
        <f t="shared" si="7"/>
        <v>3849.7892264161019</v>
      </c>
      <c r="I29" s="12">
        <v>16926</v>
      </c>
      <c r="L29" s="67">
        <v>1076.53</v>
      </c>
      <c r="M29" s="68">
        <v>1208</v>
      </c>
      <c r="N29" s="68">
        <v>960</v>
      </c>
      <c r="O29" s="68">
        <v>1096.67</v>
      </c>
      <c r="P29" s="68">
        <v>1278.0999999999999</v>
      </c>
      <c r="Q29" s="12">
        <f t="shared" si="2"/>
        <v>5619.2999999999993</v>
      </c>
    </row>
    <row r="30" spans="3:17" ht="23.4" x14ac:dyDescent="0.3">
      <c r="C30" s="12">
        <f t="shared" si="1"/>
        <v>16040</v>
      </c>
      <c r="D30" s="67">
        <f t="shared" si="3"/>
        <v>3276.3817270680515</v>
      </c>
      <c r="E30" s="67">
        <f t="shared" si="4"/>
        <v>3168.5887682475127</v>
      </c>
      <c r="F30" s="67">
        <f t="shared" si="5"/>
        <v>3130.7283571791709</v>
      </c>
      <c r="G30" s="67">
        <f t="shared" si="6"/>
        <v>2852.5271443096813</v>
      </c>
      <c r="H30" s="67">
        <f t="shared" si="7"/>
        <v>3611.7740031955841</v>
      </c>
      <c r="I30" s="12">
        <v>16040</v>
      </c>
      <c r="L30" s="67">
        <v>900</v>
      </c>
      <c r="M30" s="68">
        <v>870.39</v>
      </c>
      <c r="N30" s="68">
        <v>859.99</v>
      </c>
      <c r="O30" s="68">
        <v>783.57</v>
      </c>
      <c r="P30" s="68">
        <v>992.13</v>
      </c>
      <c r="Q30" s="12">
        <f t="shared" si="2"/>
        <v>4406.08</v>
      </c>
    </row>
    <row r="31" spans="3:17" ht="23.4" x14ac:dyDescent="0.3">
      <c r="C31" s="12">
        <f t="shared" si="1"/>
        <v>15881</v>
      </c>
      <c r="D31" s="67">
        <f t="shared" si="3"/>
        <v>3735.5116190510726</v>
      </c>
      <c r="E31" s="67">
        <f t="shared" si="4"/>
        <v>2890.5830379081171</v>
      </c>
      <c r="F31" s="67">
        <f t="shared" si="5"/>
        <v>3689.7230558602992</v>
      </c>
      <c r="G31" s="67">
        <f t="shared" si="6"/>
        <v>2775.3916839690642</v>
      </c>
      <c r="H31" s="67">
        <f t="shared" si="7"/>
        <v>2789.7906032114461</v>
      </c>
      <c r="I31" s="12">
        <v>15881</v>
      </c>
      <c r="L31" s="67">
        <v>1037.72</v>
      </c>
      <c r="M31" s="68">
        <v>803</v>
      </c>
      <c r="N31" s="68">
        <v>1025</v>
      </c>
      <c r="O31" s="68">
        <v>771</v>
      </c>
      <c r="P31" s="68">
        <v>775</v>
      </c>
      <c r="Q31" s="12">
        <f t="shared" si="2"/>
        <v>4411.72</v>
      </c>
    </row>
    <row r="32" spans="3:17" ht="23.4" x14ac:dyDescent="0.3">
      <c r="C32" s="12">
        <f t="shared" si="1"/>
        <v>25169</v>
      </c>
      <c r="D32" s="67">
        <f t="shared" si="3"/>
        <v>4715.3122275914338</v>
      </c>
      <c r="E32" s="67">
        <f t="shared" si="4"/>
        <v>4040.4537030844172</v>
      </c>
      <c r="F32" s="67">
        <f t="shared" si="5"/>
        <v>4734.8113358191476</v>
      </c>
      <c r="G32" s="67">
        <f t="shared" si="6"/>
        <v>5299.1281532510675</v>
      </c>
      <c r="H32" s="67">
        <f t="shared" si="7"/>
        <v>6379.2945802539316</v>
      </c>
      <c r="I32" s="12">
        <v>25169</v>
      </c>
      <c r="L32" s="67">
        <v>1344.53</v>
      </c>
      <c r="M32" s="68">
        <v>1152.0999999999999</v>
      </c>
      <c r="N32" s="68">
        <v>1350.09</v>
      </c>
      <c r="O32" s="68">
        <v>1511</v>
      </c>
      <c r="P32" s="68">
        <v>1819</v>
      </c>
      <c r="Q32" s="12">
        <f t="shared" si="2"/>
        <v>7176.72</v>
      </c>
    </row>
    <row r="33" spans="3:17" ht="23.4" x14ac:dyDescent="0.3">
      <c r="C33" s="12">
        <f t="shared" si="1"/>
        <v>21332.999999999996</v>
      </c>
      <c r="D33" s="67">
        <f t="shared" si="3"/>
        <v>3724.9233559133063</v>
      </c>
      <c r="E33" s="67">
        <f t="shared" si="4"/>
        <v>3315.6837863405235</v>
      </c>
      <c r="F33" s="67">
        <f t="shared" si="5"/>
        <v>4126.2707569640343</v>
      </c>
      <c r="G33" s="67">
        <f t="shared" si="6"/>
        <v>4605.566836157237</v>
      </c>
      <c r="H33" s="67">
        <f t="shared" si="7"/>
        <v>5560.5552646248962</v>
      </c>
      <c r="I33" s="12">
        <v>21333</v>
      </c>
      <c r="L33" s="67">
        <v>1033.6300000000001</v>
      </c>
      <c r="M33" s="68">
        <v>920.07</v>
      </c>
      <c r="N33" s="68">
        <v>1145</v>
      </c>
      <c r="O33" s="68">
        <v>1278</v>
      </c>
      <c r="P33" s="68">
        <v>1543</v>
      </c>
      <c r="Q33" s="12">
        <f t="shared" si="2"/>
        <v>5919.7000000000007</v>
      </c>
    </row>
    <row r="34" spans="3:17" ht="23.4" x14ac:dyDescent="0.3">
      <c r="C34" s="12">
        <f t="shared" si="1"/>
        <v>14060.000000000002</v>
      </c>
      <c r="D34" s="67">
        <f t="shared" si="3"/>
        <v>3952.1692825942891</v>
      </c>
      <c r="E34" s="67">
        <f t="shared" si="4"/>
        <v>2604.8117823666789</v>
      </c>
      <c r="F34" s="67">
        <f t="shared" si="5"/>
        <v>2295.2112962339538</v>
      </c>
      <c r="G34" s="67">
        <f t="shared" si="6"/>
        <v>2367.8185640875804</v>
      </c>
      <c r="H34" s="67">
        <f t="shared" si="7"/>
        <v>2839.9890747174991</v>
      </c>
      <c r="I34" s="12">
        <v>14060</v>
      </c>
      <c r="L34" s="67">
        <v>1327.6</v>
      </c>
      <c r="M34" s="68">
        <v>875</v>
      </c>
      <c r="N34" s="68">
        <v>771</v>
      </c>
      <c r="O34" s="68">
        <v>795.39</v>
      </c>
      <c r="P34" s="68">
        <v>954</v>
      </c>
      <c r="Q34" s="12">
        <f t="shared" si="2"/>
        <v>4722.99</v>
      </c>
    </row>
    <row r="35" spans="3:17" ht="23.4" x14ac:dyDescent="0.3">
      <c r="C35" s="12">
        <f t="shared" si="1"/>
        <v>16363.000000000002</v>
      </c>
      <c r="D35" s="67">
        <f t="shared" si="3"/>
        <v>3038.9700005776062</v>
      </c>
      <c r="E35" s="67">
        <f t="shared" si="4"/>
        <v>3253.7130115424975</v>
      </c>
      <c r="F35" s="67">
        <f t="shared" si="5"/>
        <v>3562.103350597341</v>
      </c>
      <c r="G35" s="67">
        <f t="shared" si="6"/>
        <v>3306.5619241988124</v>
      </c>
      <c r="H35" s="67">
        <f t="shared" si="7"/>
        <v>3201.6517130837433</v>
      </c>
      <c r="I35" s="12">
        <v>16363</v>
      </c>
      <c r="L35" s="67">
        <v>771.69</v>
      </c>
      <c r="M35" s="68">
        <v>826.22</v>
      </c>
      <c r="N35" s="68">
        <v>904.53</v>
      </c>
      <c r="O35" s="68">
        <v>839.64</v>
      </c>
      <c r="P35" s="68">
        <v>813</v>
      </c>
      <c r="Q35" s="12">
        <f t="shared" si="2"/>
        <v>4155.08</v>
      </c>
    </row>
    <row r="36" spans="3:17" ht="23.4" x14ac:dyDescent="0.3">
      <c r="C36" s="12">
        <f t="shared" si="1"/>
        <v>19830.999999999996</v>
      </c>
      <c r="D36" s="67">
        <f t="shared" si="3"/>
        <v>5187.8871723531993</v>
      </c>
      <c r="E36" s="67">
        <f t="shared" si="4"/>
        <v>3511.3463415824672</v>
      </c>
      <c r="F36" s="67">
        <f t="shared" si="5"/>
        <v>3256.5602577244099</v>
      </c>
      <c r="G36" s="67">
        <f t="shared" si="6"/>
        <v>3916.8606921462388</v>
      </c>
      <c r="H36" s="67">
        <f t="shared" si="7"/>
        <v>3958.3455361936835</v>
      </c>
      <c r="I36" s="12">
        <v>19831</v>
      </c>
      <c r="L36" s="67">
        <v>1500.66</v>
      </c>
      <c r="M36" s="68">
        <v>1015.7</v>
      </c>
      <c r="N36" s="68">
        <v>942</v>
      </c>
      <c r="O36" s="68">
        <v>1133</v>
      </c>
      <c r="P36" s="68">
        <v>1145</v>
      </c>
      <c r="Q36" s="12">
        <f t="shared" si="2"/>
        <v>5736.3600000000006</v>
      </c>
    </row>
    <row r="37" spans="3:17" ht="23.4" x14ac:dyDescent="0.3">
      <c r="C37" s="12">
        <f t="shared" si="1"/>
        <v>24947</v>
      </c>
      <c r="D37" s="67">
        <f t="shared" si="3"/>
        <v>5775.2807963709674</v>
      </c>
      <c r="E37" s="67">
        <f t="shared" si="4"/>
        <v>5931.7384360599081</v>
      </c>
      <c r="F37" s="67">
        <f t="shared" si="5"/>
        <v>1341.2964357718895</v>
      </c>
      <c r="G37" s="67">
        <f t="shared" si="6"/>
        <v>5018.8593029953918</v>
      </c>
      <c r="H37" s="67">
        <f t="shared" si="7"/>
        <v>6879.8250288018435</v>
      </c>
      <c r="I37" s="12">
        <v>24947</v>
      </c>
      <c r="L37" s="67">
        <v>1607.55</v>
      </c>
      <c r="M37" s="68">
        <v>1651.1</v>
      </c>
      <c r="N37" s="68">
        <v>373.35</v>
      </c>
      <c r="O37" s="68">
        <v>1397</v>
      </c>
      <c r="P37" s="68">
        <v>1915</v>
      </c>
      <c r="Q37" s="12">
        <f t="shared" si="2"/>
        <v>6944</v>
      </c>
    </row>
    <row r="38" spans="3:17" ht="23.4" x14ac:dyDescent="0.3">
      <c r="C38" s="12">
        <f t="shared" si="1"/>
        <v>18634</v>
      </c>
      <c r="D38" s="67">
        <f t="shared" si="3"/>
        <v>3648.5761791276395</v>
      </c>
      <c r="E38" s="67">
        <f t="shared" si="4"/>
        <v>2844.2075042952947</v>
      </c>
      <c r="F38" s="67">
        <f t="shared" si="5"/>
        <v>3971.4965637643409</v>
      </c>
      <c r="G38" s="67">
        <f t="shared" si="6"/>
        <v>3798.9526963365297</v>
      </c>
      <c r="H38" s="67">
        <f t="shared" si="7"/>
        <v>4370.7670564761956</v>
      </c>
      <c r="I38" s="12">
        <v>18634</v>
      </c>
      <c r="L38" s="67">
        <v>989.2</v>
      </c>
      <c r="M38" s="68">
        <v>771.12</v>
      </c>
      <c r="N38" s="68">
        <v>1076.75</v>
      </c>
      <c r="O38" s="68">
        <v>1029.97</v>
      </c>
      <c r="P38" s="68">
        <v>1185</v>
      </c>
      <c r="Q38" s="12">
        <f t="shared" si="2"/>
        <v>5052.04</v>
      </c>
    </row>
    <row r="39" spans="3:17" ht="23.4" x14ac:dyDescent="0.3">
      <c r="C39" s="12">
        <f t="shared" si="1"/>
        <v>26111</v>
      </c>
      <c r="D39" s="67">
        <f t="shared" si="3"/>
        <v>3519.0638367982747</v>
      </c>
      <c r="E39" s="67">
        <f t="shared" si="4"/>
        <v>4454.9517853933257</v>
      </c>
      <c r="F39" s="67">
        <f t="shared" si="5"/>
        <v>6893.0317985740812</v>
      </c>
      <c r="G39" s="67">
        <f t="shared" si="6"/>
        <v>5504.6480887903663</v>
      </c>
      <c r="H39" s="67">
        <f t="shared" si="7"/>
        <v>5739.304490443953</v>
      </c>
      <c r="I39" s="12">
        <v>26111</v>
      </c>
      <c r="L39" s="67">
        <v>359.92</v>
      </c>
      <c r="M39" s="68">
        <v>455.64</v>
      </c>
      <c r="N39" s="68">
        <f>394+311</f>
        <v>705</v>
      </c>
      <c r="O39" s="68">
        <v>563</v>
      </c>
      <c r="P39" s="68">
        <v>587.00000000000011</v>
      </c>
      <c r="Q39" s="12">
        <f t="shared" si="2"/>
        <v>2670.56</v>
      </c>
    </row>
    <row r="40" spans="3:17" ht="23.4" x14ac:dyDescent="0.3">
      <c r="C40" s="12">
        <f t="shared" si="1"/>
        <v>16343</v>
      </c>
      <c r="D40" s="67">
        <f t="shared" si="3"/>
        <v>6679.7094459167538</v>
      </c>
      <c r="E40" s="67">
        <f t="shared" si="4"/>
        <v>980.33250562323224</v>
      </c>
      <c r="F40" s="67">
        <f t="shared" si="5"/>
        <v>3287.034691446006</v>
      </c>
      <c r="G40" s="67">
        <f t="shared" si="6"/>
        <v>2107.0688539741218</v>
      </c>
      <c r="H40" s="67">
        <f t="shared" si="7"/>
        <v>3288.8545030398859</v>
      </c>
      <c r="I40" s="12">
        <v>16343</v>
      </c>
      <c r="L40" s="67">
        <v>734.1099999999999</v>
      </c>
      <c r="M40" s="68">
        <v>107.74</v>
      </c>
      <c r="N40" s="68">
        <v>361.25</v>
      </c>
      <c r="O40" s="68">
        <v>231.57</v>
      </c>
      <c r="P40" s="68">
        <v>361.45</v>
      </c>
      <c r="Q40" s="12">
        <f t="shared" si="2"/>
        <v>1796.12</v>
      </c>
    </row>
    <row r="41" spans="3:17" ht="23.4" x14ac:dyDescent="0.3">
      <c r="C41" s="12">
        <f t="shared" si="1"/>
        <v>15152.000000000002</v>
      </c>
      <c r="D41" s="67">
        <f t="shared" si="3"/>
        <v>3606.9954203055131</v>
      </c>
      <c r="E41" s="67">
        <f t="shared" si="4"/>
        <v>2963.6762081970332</v>
      </c>
      <c r="F41" s="67">
        <f t="shared" si="5"/>
        <v>2952.004849794424</v>
      </c>
      <c r="G41" s="67">
        <f t="shared" si="6"/>
        <v>2400.7529505917191</v>
      </c>
      <c r="H41" s="67">
        <f t="shared" si="7"/>
        <v>3228.5705711113114</v>
      </c>
      <c r="I41" s="12">
        <v>15152</v>
      </c>
      <c r="L41" s="67">
        <v>1189.83</v>
      </c>
      <c r="M41" s="68">
        <v>977.62</v>
      </c>
      <c r="N41" s="68">
        <v>973.77</v>
      </c>
      <c r="O41" s="68">
        <v>791.93</v>
      </c>
      <c r="P41" s="68">
        <v>1065</v>
      </c>
      <c r="Q41" s="12">
        <f t="shared" si="2"/>
        <v>4998.1499999999996</v>
      </c>
    </row>
    <row r="42" spans="3:17" ht="23.4" x14ac:dyDescent="0.3">
      <c r="C42" s="12">
        <f t="shared" si="1"/>
        <v>9714.9999999999982</v>
      </c>
      <c r="D42" s="67">
        <f t="shared" si="3"/>
        <v>2751.0516959409188</v>
      </c>
      <c r="E42" s="67">
        <f t="shared" si="4"/>
        <v>365.92754751137431</v>
      </c>
      <c r="F42" s="67">
        <f t="shared" si="5"/>
        <v>3021.4170612376442</v>
      </c>
      <c r="G42" s="67">
        <f t="shared" si="6"/>
        <v>2017.7643339836179</v>
      </c>
      <c r="H42" s="67">
        <f t="shared" si="7"/>
        <v>1558.8393613264441</v>
      </c>
      <c r="I42" s="12">
        <v>9715</v>
      </c>
      <c r="L42" s="67">
        <v>825.93</v>
      </c>
      <c r="M42" s="68">
        <v>109.86</v>
      </c>
      <c r="N42" s="68">
        <v>907.1</v>
      </c>
      <c r="O42" s="68">
        <v>605.78</v>
      </c>
      <c r="P42" s="68">
        <v>468</v>
      </c>
      <c r="Q42" s="12">
        <f t="shared" si="2"/>
        <v>2916.67</v>
      </c>
    </row>
    <row r="43" spans="3:17" ht="23.4" x14ac:dyDescent="0.3">
      <c r="C43" s="12">
        <f t="shared" si="1"/>
        <v>14814.000000000002</v>
      </c>
      <c r="D43" s="67">
        <f t="shared" si="3"/>
        <v>3084.824943442195</v>
      </c>
      <c r="E43" s="67">
        <f t="shared" si="4"/>
        <v>4159.1600440860839</v>
      </c>
      <c r="F43" s="67">
        <f t="shared" si="5"/>
        <v>2772.0858982539594</v>
      </c>
      <c r="G43" s="67">
        <f t="shared" si="6"/>
        <v>1704.3389987818318</v>
      </c>
      <c r="H43" s="67">
        <f t="shared" si="7"/>
        <v>3093.5901154359303</v>
      </c>
      <c r="I43" s="12">
        <v>14814</v>
      </c>
      <c r="L43" s="67">
        <v>1076.94</v>
      </c>
      <c r="M43" s="68">
        <v>1452</v>
      </c>
      <c r="N43" s="68">
        <v>967.76</v>
      </c>
      <c r="O43" s="68">
        <v>595</v>
      </c>
      <c r="P43" s="68">
        <v>1080</v>
      </c>
      <c r="Q43" s="12">
        <f t="shared" si="2"/>
        <v>5171.7</v>
      </c>
    </row>
    <row r="44" spans="3:17" ht="23.4" x14ac:dyDescent="0.3">
      <c r="C44" s="12">
        <f t="shared" si="1"/>
        <v>10398</v>
      </c>
      <c r="D44" s="67">
        <f t="shared" si="3"/>
        <v>2448.5432809275326</v>
      </c>
      <c r="E44" s="67">
        <f t="shared" si="4"/>
        <v>1650.5648081343645</v>
      </c>
      <c r="F44" s="67">
        <f t="shared" si="5"/>
        <v>2003.4514001912783</v>
      </c>
      <c r="G44" s="67">
        <f t="shared" si="6"/>
        <v>2052.8834376415712</v>
      </c>
      <c r="H44" s="67">
        <f t="shared" si="7"/>
        <v>2242.5570731052535</v>
      </c>
      <c r="I44" s="12">
        <v>10398</v>
      </c>
      <c r="L44" s="67">
        <v>842.07</v>
      </c>
      <c r="M44" s="68">
        <v>567.64</v>
      </c>
      <c r="N44" s="68">
        <v>689</v>
      </c>
      <c r="O44" s="68">
        <v>706</v>
      </c>
      <c r="P44" s="68">
        <v>771.23</v>
      </c>
      <c r="Q44" s="12">
        <f t="shared" si="2"/>
        <v>3575.94</v>
      </c>
    </row>
    <row r="45" spans="3:17" ht="23.4" x14ac:dyDescent="0.3">
      <c r="C45" s="12">
        <f t="shared" si="1"/>
        <v>14209</v>
      </c>
      <c r="D45" s="67">
        <f t="shared" si="3"/>
        <v>3669.1938763727803</v>
      </c>
      <c r="E45" s="67">
        <f t="shared" si="4"/>
        <v>3094.5008595915015</v>
      </c>
      <c r="F45" s="67">
        <f t="shared" si="5"/>
        <v>2509.6295631051353</v>
      </c>
      <c r="G45" s="67">
        <f t="shared" si="6"/>
        <v>2307.552732303534</v>
      </c>
      <c r="H45" s="67">
        <f t="shared" si="7"/>
        <v>2628.1229686270481</v>
      </c>
      <c r="I45" s="12">
        <v>14209</v>
      </c>
      <c r="L45" s="67">
        <v>1207.6500000000001</v>
      </c>
      <c r="M45" s="68">
        <v>1018.5</v>
      </c>
      <c r="N45" s="68">
        <v>826</v>
      </c>
      <c r="O45" s="68">
        <v>759.49</v>
      </c>
      <c r="P45" s="68">
        <v>865</v>
      </c>
      <c r="Q45" s="12">
        <f t="shared" si="2"/>
        <v>4676.6400000000003</v>
      </c>
    </row>
    <row r="46" spans="3:17" ht="23.4" x14ac:dyDescent="0.3">
      <c r="C46" s="12">
        <f t="shared" si="1"/>
        <v>15061</v>
      </c>
      <c r="D46" s="67">
        <f t="shared" si="3"/>
        <v>2568.3417639204572</v>
      </c>
      <c r="E46" s="67">
        <f t="shared" si="4"/>
        <v>3273.4429778516169</v>
      </c>
      <c r="F46" s="67">
        <f t="shared" si="5"/>
        <v>2992.581447544108</v>
      </c>
      <c r="G46" s="67">
        <f t="shared" si="6"/>
        <v>3242.4032962664733</v>
      </c>
      <c r="H46" s="67">
        <f t="shared" si="7"/>
        <v>2984.2305144173433</v>
      </c>
      <c r="I46" s="12">
        <v>15061</v>
      </c>
      <c r="L46" s="67">
        <v>836.54</v>
      </c>
      <c r="M46" s="68">
        <v>1066.2</v>
      </c>
      <c r="N46" s="68">
        <v>974.72</v>
      </c>
      <c r="O46" s="68">
        <v>1056.0899999999999</v>
      </c>
      <c r="P46" s="68">
        <v>972</v>
      </c>
      <c r="Q46" s="12">
        <f t="shared" si="2"/>
        <v>4905.55</v>
      </c>
    </row>
    <row r="47" spans="3:17" ht="23.4" x14ac:dyDescent="0.3">
      <c r="C47" s="12">
        <f t="shared" si="1"/>
        <v>7205</v>
      </c>
      <c r="D47" s="67">
        <f t="shared" si="3"/>
        <v>1823.8975534438714</v>
      </c>
      <c r="E47" s="67">
        <f t="shared" si="4"/>
        <v>683.03583742827527</v>
      </c>
      <c r="F47" s="67">
        <f t="shared" si="5"/>
        <v>1819.1164900745548</v>
      </c>
      <c r="G47" s="67">
        <f t="shared" si="6"/>
        <v>907.15208896252318</v>
      </c>
      <c r="H47" s="67">
        <f t="shared" si="7"/>
        <v>1971.7980300907755</v>
      </c>
      <c r="I47" s="12">
        <v>7205</v>
      </c>
      <c r="L47" s="67">
        <v>583.67000000000007</v>
      </c>
      <c r="M47" s="68">
        <v>218.58</v>
      </c>
      <c r="N47" s="68">
        <v>582.14</v>
      </c>
      <c r="O47" s="68">
        <v>290.3</v>
      </c>
      <c r="P47" s="68">
        <v>631</v>
      </c>
      <c r="Q47" s="12">
        <f t="shared" si="2"/>
        <v>2305.69</v>
      </c>
    </row>
    <row r="48" spans="3:17" ht="23.4" x14ac:dyDescent="0.3">
      <c r="C48" s="12">
        <f t="shared" si="1"/>
        <v>12504</v>
      </c>
      <c r="D48" s="67">
        <f t="shared" si="3"/>
        <v>4128.729625375865</v>
      </c>
      <c r="E48" s="67">
        <f t="shared" si="4"/>
        <v>2267.1695360339822</v>
      </c>
      <c r="F48" s="67">
        <f t="shared" si="5"/>
        <v>2002.6086906335306</v>
      </c>
      <c r="G48" s="67">
        <f t="shared" si="6"/>
        <v>1746.3469443113806</v>
      </c>
      <c r="H48" s="67">
        <f t="shared" si="7"/>
        <v>2359.1452036452411</v>
      </c>
      <c r="I48" s="12">
        <v>12504</v>
      </c>
      <c r="L48" s="67">
        <v>1144.23</v>
      </c>
      <c r="M48" s="68">
        <v>628.32000000000005</v>
      </c>
      <c r="N48" s="68">
        <v>555</v>
      </c>
      <c r="O48" s="68">
        <v>483.98</v>
      </c>
      <c r="P48" s="68">
        <v>653.80999999999995</v>
      </c>
      <c r="Q48" s="12">
        <f t="shared" si="2"/>
        <v>3465.34</v>
      </c>
    </row>
    <row r="49" spans="3:17" ht="23.4" x14ac:dyDescent="0.3">
      <c r="C49" s="12">
        <f t="shared" si="1"/>
        <v>18735.000000000004</v>
      </c>
      <c r="D49" s="67">
        <f t="shared" si="3"/>
        <v>3395.2959309940593</v>
      </c>
      <c r="E49" s="67">
        <f t="shared" si="4"/>
        <v>4637.9601421221359</v>
      </c>
      <c r="F49" s="67">
        <f t="shared" si="5"/>
        <v>3511.0415747045763</v>
      </c>
      <c r="G49" s="67">
        <f t="shared" si="6"/>
        <v>3533.6145172261581</v>
      </c>
      <c r="H49" s="67">
        <f t="shared" si="7"/>
        <v>3657.0878349530726</v>
      </c>
      <c r="I49" s="12">
        <v>18735</v>
      </c>
      <c r="L49" s="67">
        <v>1001.76</v>
      </c>
      <c r="M49" s="68">
        <v>1368.4</v>
      </c>
      <c r="N49" s="68">
        <v>1035.9100000000001</v>
      </c>
      <c r="O49" s="68">
        <v>1042.57</v>
      </c>
      <c r="P49" s="68">
        <v>1079</v>
      </c>
      <c r="Q49" s="12">
        <f t="shared" si="2"/>
        <v>5527.6399999999994</v>
      </c>
    </row>
    <row r="50" spans="3:17" ht="23.4" x14ac:dyDescent="0.3">
      <c r="C50" s="12">
        <f t="shared" si="1"/>
        <v>15486</v>
      </c>
      <c r="D50" s="67">
        <f t="shared" si="3"/>
        <v>4166.8790188266676</v>
      </c>
      <c r="E50" s="67">
        <f t="shared" si="4"/>
        <v>2223.137010748068</v>
      </c>
      <c r="F50" s="67">
        <f t="shared" si="5"/>
        <v>3783.7237876251511</v>
      </c>
      <c r="G50" s="67">
        <f t="shared" si="6"/>
        <v>2548.6147307878018</v>
      </c>
      <c r="H50" s="67">
        <f t="shared" si="7"/>
        <v>2763.6454520123116</v>
      </c>
      <c r="I50" s="12">
        <v>15486</v>
      </c>
      <c r="L50" s="67">
        <v>1265</v>
      </c>
      <c r="M50" s="68">
        <v>674.91</v>
      </c>
      <c r="N50" s="68">
        <v>1148.68</v>
      </c>
      <c r="O50" s="68">
        <v>773.72</v>
      </c>
      <c r="P50" s="68">
        <v>839</v>
      </c>
      <c r="Q50" s="12">
        <f t="shared" si="2"/>
        <v>4701.3100000000004</v>
      </c>
    </row>
    <row r="51" spans="3:17" ht="23.4" x14ac:dyDescent="0.3">
      <c r="C51" s="12">
        <f t="shared" si="1"/>
        <v>12776</v>
      </c>
      <c r="D51" s="67">
        <f t="shared" si="3"/>
        <v>3406.0279808257651</v>
      </c>
      <c r="E51" s="67">
        <f t="shared" si="4"/>
        <v>3002.9821018226821</v>
      </c>
      <c r="F51" s="67">
        <f t="shared" si="5"/>
        <v>1938.6352607701019</v>
      </c>
      <c r="G51" s="67">
        <f t="shared" si="6"/>
        <v>1462.9971680261681</v>
      </c>
      <c r="H51" s="67">
        <f t="shared" si="7"/>
        <v>2965.3574885552825</v>
      </c>
      <c r="I51" s="12">
        <v>12776</v>
      </c>
      <c r="L51" s="67">
        <v>1038.3399999999999</v>
      </c>
      <c r="M51" s="68">
        <v>915.47</v>
      </c>
      <c r="N51" s="68">
        <v>591</v>
      </c>
      <c r="O51" s="68">
        <v>446</v>
      </c>
      <c r="P51" s="68">
        <v>904</v>
      </c>
      <c r="Q51" s="12">
        <f t="shared" si="2"/>
        <v>3894.81</v>
      </c>
    </row>
    <row r="52" spans="3:17" ht="23.4" x14ac:dyDescent="0.3">
      <c r="C52" s="12">
        <f t="shared" si="1"/>
        <v>13690.000000000002</v>
      </c>
      <c r="D52" s="67">
        <f t="shared" si="3"/>
        <v>1789.4139615053145</v>
      </c>
      <c r="E52" s="67">
        <f t="shared" si="4"/>
        <v>3134.4240160873314</v>
      </c>
      <c r="F52" s="67">
        <f t="shared" si="5"/>
        <v>4420.4424016087332</v>
      </c>
      <c r="G52" s="67">
        <f t="shared" si="6"/>
        <v>1022.5222637173226</v>
      </c>
      <c r="H52" s="67">
        <f t="shared" si="7"/>
        <v>3323.1973570812984</v>
      </c>
      <c r="I52" s="12">
        <v>13690</v>
      </c>
      <c r="L52" s="67">
        <v>455</v>
      </c>
      <c r="M52" s="68">
        <v>797</v>
      </c>
      <c r="N52" s="68">
        <v>1124</v>
      </c>
      <c r="O52" s="68">
        <v>260</v>
      </c>
      <c r="P52" s="68">
        <v>845</v>
      </c>
      <c r="Q52" s="12">
        <f t="shared" si="2"/>
        <v>3481</v>
      </c>
    </row>
    <row r="53" spans="3:17" ht="23.4" x14ac:dyDescent="0.3">
      <c r="C53" s="12">
        <f t="shared" si="1"/>
        <v>24723</v>
      </c>
      <c r="D53" s="67">
        <f t="shared" si="3"/>
        <v>660.42644664792067</v>
      </c>
      <c r="E53" s="67">
        <f t="shared" si="4"/>
        <v>5497.2324996300131</v>
      </c>
      <c r="F53" s="67">
        <f t="shared" si="5"/>
        <v>6004.7002367914756</v>
      </c>
      <c r="G53" s="67">
        <f t="shared" si="6"/>
        <v>4221.0892407873316</v>
      </c>
      <c r="H53" s="67">
        <f t="shared" si="7"/>
        <v>8339.5515761432598</v>
      </c>
      <c r="I53" s="12">
        <v>24723</v>
      </c>
      <c r="L53" s="67">
        <v>148.01</v>
      </c>
      <c r="M53" s="68">
        <v>1232</v>
      </c>
      <c r="N53" s="68">
        <v>1345.73</v>
      </c>
      <c r="O53" s="68">
        <v>946</v>
      </c>
      <c r="P53" s="68">
        <v>1869</v>
      </c>
      <c r="Q53" s="12">
        <f t="shared" si="2"/>
        <v>5540.74</v>
      </c>
    </row>
    <row r="54" spans="3:17" ht="23.4" x14ac:dyDescent="0.3">
      <c r="C54" s="12">
        <f t="shared" si="1"/>
        <v>18178.999999999996</v>
      </c>
      <c r="D54" s="67">
        <f t="shared" si="3"/>
        <v>4461.8671162346272</v>
      </c>
      <c r="E54" s="67">
        <f t="shared" si="4"/>
        <v>2386.8271088105689</v>
      </c>
      <c r="F54" s="67">
        <f t="shared" si="5"/>
        <v>3153.361008572037</v>
      </c>
      <c r="G54" s="67">
        <f t="shared" si="6"/>
        <v>3453.1931469528135</v>
      </c>
      <c r="H54" s="67">
        <f t="shared" si="7"/>
        <v>4723.7516194299506</v>
      </c>
      <c r="I54" s="12">
        <v>18179</v>
      </c>
      <c r="L54" s="67">
        <v>1071.1500000000001</v>
      </c>
      <c r="M54" s="68">
        <v>573</v>
      </c>
      <c r="N54" s="68">
        <v>757.02</v>
      </c>
      <c r="O54" s="68">
        <v>829</v>
      </c>
      <c r="P54" s="68">
        <v>1134.02</v>
      </c>
      <c r="Q54" s="12">
        <f t="shared" si="2"/>
        <v>4364.1900000000005</v>
      </c>
    </row>
    <row r="55" spans="3:17" ht="23.4" x14ac:dyDescent="0.3">
      <c r="C55" s="12">
        <f t="shared" si="1"/>
        <v>18216</v>
      </c>
      <c r="D55" s="67">
        <f t="shared" si="3"/>
        <v>4270.2760701966381</v>
      </c>
      <c r="E55" s="67">
        <f t="shared" si="4"/>
        <v>4200.4786638841197</v>
      </c>
      <c r="F55" s="67">
        <f t="shared" si="5"/>
        <v>3105.2265237991019</v>
      </c>
      <c r="G55" s="67">
        <f t="shared" si="6"/>
        <v>3203.4931859446428</v>
      </c>
      <c r="H55" s="67">
        <f t="shared" si="7"/>
        <v>3436.525556175498</v>
      </c>
      <c r="I55" s="12">
        <v>18216</v>
      </c>
      <c r="L55" s="67">
        <v>1520.96</v>
      </c>
      <c r="M55" s="68">
        <v>1496.1</v>
      </c>
      <c r="N55" s="68">
        <v>1106</v>
      </c>
      <c r="O55" s="68">
        <v>1141</v>
      </c>
      <c r="P55" s="68">
        <v>1224</v>
      </c>
      <c r="Q55" s="12">
        <f t="shared" si="2"/>
        <v>6488.0599999999995</v>
      </c>
    </row>
    <row r="56" spans="3:17" ht="23.4" x14ac:dyDescent="0.3">
      <c r="C56" s="12">
        <f t="shared" si="1"/>
        <v>22172</v>
      </c>
      <c r="D56" s="67">
        <f t="shared" si="3"/>
        <v>5142.0107073546133</v>
      </c>
      <c r="E56" s="67">
        <f t="shared" si="4"/>
        <v>3584.9946767413139</v>
      </c>
      <c r="F56" s="67">
        <f t="shared" si="5"/>
        <v>5078.5457465642166</v>
      </c>
      <c r="G56" s="67">
        <f t="shared" si="6"/>
        <v>3992.6946639654934</v>
      </c>
      <c r="H56" s="67">
        <f t="shared" si="7"/>
        <v>4373.7542053743618</v>
      </c>
      <c r="I56" s="12">
        <v>22172</v>
      </c>
      <c r="L56" s="67">
        <v>1524.82</v>
      </c>
      <c r="M56" s="68">
        <v>1063.0999999999999</v>
      </c>
      <c r="N56" s="68">
        <v>1506</v>
      </c>
      <c r="O56" s="68">
        <v>1184</v>
      </c>
      <c r="P56" s="68">
        <v>1297</v>
      </c>
      <c r="Q56" s="12">
        <f t="shared" si="2"/>
        <v>6574.92</v>
      </c>
    </row>
    <row r="57" spans="3:17" ht="23.4" x14ac:dyDescent="0.3">
      <c r="C57" s="12">
        <f t="shared" si="1"/>
        <v>12928</v>
      </c>
      <c r="D57" s="67">
        <f t="shared" si="3"/>
        <v>3047.8413182234863</v>
      </c>
      <c r="E57" s="67">
        <f t="shared" si="4"/>
        <v>2453.3821934253428</v>
      </c>
      <c r="F57" s="67">
        <f t="shared" si="5"/>
        <v>2564.6644132446722</v>
      </c>
      <c r="G57" s="67">
        <f t="shared" si="6"/>
        <v>2242.4119448394081</v>
      </c>
      <c r="H57" s="67">
        <f t="shared" si="7"/>
        <v>2619.7001302670901</v>
      </c>
      <c r="I57" s="12">
        <v>12928</v>
      </c>
      <c r="L57" s="67">
        <v>830.69</v>
      </c>
      <c r="M57" s="68">
        <v>668.67</v>
      </c>
      <c r="N57" s="68">
        <v>699</v>
      </c>
      <c r="O57" s="68">
        <v>611.16999999999996</v>
      </c>
      <c r="P57" s="68">
        <v>714</v>
      </c>
      <c r="Q57" s="12">
        <f t="shared" si="2"/>
        <v>3523.53</v>
      </c>
    </row>
    <row r="58" spans="3:17" ht="23.4" x14ac:dyDescent="0.3">
      <c r="C58" s="12">
        <f t="shared" si="1"/>
        <v>19289</v>
      </c>
      <c r="D58" s="67">
        <f t="shared" si="3"/>
        <v>3380.1703394341562</v>
      </c>
      <c r="E58" s="67">
        <f t="shared" si="4"/>
        <v>4124.0324665708786</v>
      </c>
      <c r="F58" s="67">
        <f t="shared" si="5"/>
        <v>5045.2233577606394</v>
      </c>
      <c r="G58" s="67">
        <f t="shared" si="6"/>
        <v>2848.6858483052301</v>
      </c>
      <c r="H58" s="67">
        <f t="shared" si="7"/>
        <v>3890.8879879290953</v>
      </c>
      <c r="I58" s="12">
        <v>19289</v>
      </c>
      <c r="L58" s="67">
        <v>875.69</v>
      </c>
      <c r="M58" s="68">
        <v>1068.4000000000001</v>
      </c>
      <c r="N58" s="68">
        <v>1307.05</v>
      </c>
      <c r="O58" s="68">
        <v>738</v>
      </c>
      <c r="P58" s="68">
        <v>1008</v>
      </c>
      <c r="Q58" s="12">
        <f t="shared" si="2"/>
        <v>4997.1400000000003</v>
      </c>
    </row>
    <row r="59" spans="3:17" ht="23.4" x14ac:dyDescent="0.3">
      <c r="C59" s="12">
        <f t="shared" si="1"/>
        <v>12233.999999999998</v>
      </c>
      <c r="D59" s="67">
        <f t="shared" si="3"/>
        <v>3162.3611956984219</v>
      </c>
      <c r="E59" s="67">
        <f t="shared" si="4"/>
        <v>2273.463821195865</v>
      </c>
      <c r="F59" s="67">
        <f t="shared" si="5"/>
        <v>2268.5306057749262</v>
      </c>
      <c r="G59" s="67">
        <f t="shared" si="6"/>
        <v>2141.2876700900192</v>
      </c>
      <c r="H59" s="67">
        <f t="shared" si="7"/>
        <v>2388.3567072407664</v>
      </c>
      <c r="I59" s="12">
        <v>12234</v>
      </c>
      <c r="L59" s="67">
        <v>929.5</v>
      </c>
      <c r="M59" s="68">
        <v>668.23</v>
      </c>
      <c r="N59" s="68">
        <v>666.78</v>
      </c>
      <c r="O59" s="68">
        <v>629.38</v>
      </c>
      <c r="P59" s="68">
        <v>702</v>
      </c>
      <c r="Q59" s="12">
        <f t="shared" si="2"/>
        <v>3595.8900000000003</v>
      </c>
    </row>
    <row r="60" spans="3:17" ht="23.4" x14ac:dyDescent="0.3">
      <c r="C60" s="12">
        <f t="shared" si="1"/>
        <v>26700</v>
      </c>
      <c r="D60" s="67">
        <f t="shared" si="3"/>
        <v>5722.2666464956455</v>
      </c>
      <c r="E60" s="67">
        <f t="shared" si="4"/>
        <v>4014.6268721229276</v>
      </c>
      <c r="F60" s="67">
        <f t="shared" si="5"/>
        <v>6480.2986751961271</v>
      </c>
      <c r="G60" s="67">
        <f t="shared" si="6"/>
        <v>4577.8133171965164</v>
      </c>
      <c r="H60" s="67">
        <f t="shared" si="7"/>
        <v>5904.9944889887838</v>
      </c>
      <c r="I60" s="12">
        <v>26700</v>
      </c>
      <c r="L60" s="67">
        <v>1487.5</v>
      </c>
      <c r="M60" s="68">
        <v>1043.5999999999999</v>
      </c>
      <c r="N60" s="68">
        <v>1684.55</v>
      </c>
      <c r="O60" s="68">
        <v>1190</v>
      </c>
      <c r="P60" s="68">
        <v>1535</v>
      </c>
      <c r="Q60" s="12">
        <f t="shared" si="2"/>
        <v>6940.65</v>
      </c>
    </row>
    <row r="61" spans="3:17" ht="23.4" x14ac:dyDescent="0.3">
      <c r="C61" s="12">
        <f t="shared" si="1"/>
        <v>26378</v>
      </c>
      <c r="D61" s="67">
        <f t="shared" si="3"/>
        <v>4576.3497881046324</v>
      </c>
      <c r="E61" s="67">
        <f t="shared" si="4"/>
        <v>4668.4138779287832</v>
      </c>
      <c r="F61" s="67">
        <f t="shared" si="5"/>
        <v>6035.1769253251496</v>
      </c>
      <c r="G61" s="67">
        <f t="shared" si="6"/>
        <v>4631.7295825417705</v>
      </c>
      <c r="H61" s="67">
        <f t="shared" si="7"/>
        <v>6466.3298260996635</v>
      </c>
      <c r="I61" s="12">
        <v>26378</v>
      </c>
      <c r="L61" s="67">
        <v>1424.64</v>
      </c>
      <c r="M61" s="68">
        <v>1453.3</v>
      </c>
      <c r="N61" s="68">
        <v>1878.78</v>
      </c>
      <c r="O61" s="68">
        <v>1441.88</v>
      </c>
      <c r="P61" s="68">
        <v>2013</v>
      </c>
      <c r="Q61" s="12">
        <f t="shared" si="2"/>
        <v>8211.6</v>
      </c>
    </row>
    <row r="62" spans="3:17" ht="23.4" x14ac:dyDescent="0.3">
      <c r="C62" s="12">
        <f t="shared" si="1"/>
        <v>29951</v>
      </c>
      <c r="D62" s="67">
        <f t="shared" si="3"/>
        <v>4741.0148523452699</v>
      </c>
      <c r="E62" s="67">
        <f t="shared" si="4"/>
        <v>5536.1919707661009</v>
      </c>
      <c r="F62" s="67">
        <f t="shared" si="5"/>
        <v>6288.2277509065534</v>
      </c>
      <c r="G62" s="67">
        <f t="shared" si="6"/>
        <v>7083.9084647158716</v>
      </c>
      <c r="H62" s="67">
        <f t="shared" si="7"/>
        <v>6301.6569612662051</v>
      </c>
      <c r="I62" s="12">
        <v>29951</v>
      </c>
      <c r="L62" s="67">
        <v>1412.15</v>
      </c>
      <c r="M62" s="68">
        <v>1649</v>
      </c>
      <c r="N62" s="68">
        <v>1873</v>
      </c>
      <c r="O62" s="68">
        <v>2110</v>
      </c>
      <c r="P62" s="68">
        <v>1877</v>
      </c>
      <c r="Q62" s="12">
        <f t="shared" si="2"/>
        <v>8921.15</v>
      </c>
    </row>
    <row r="63" spans="3:17" ht="23.4" x14ac:dyDescent="0.3">
      <c r="C63" s="12">
        <f t="shared" si="1"/>
        <v>15677</v>
      </c>
      <c r="D63" s="67">
        <f t="shared" si="3"/>
        <v>3942.8499800276995</v>
      </c>
      <c r="E63" s="67">
        <f t="shared" si="4"/>
        <v>2844.2877355144828</v>
      </c>
      <c r="F63" s="67">
        <f t="shared" si="5"/>
        <v>3212.9917012293231</v>
      </c>
      <c r="G63" s="67">
        <f t="shared" si="6"/>
        <v>3321.2619133836811</v>
      </c>
      <c r="H63" s="67">
        <f t="shared" si="7"/>
        <v>2355.6086698448134</v>
      </c>
      <c r="I63" s="12">
        <v>15677</v>
      </c>
      <c r="L63" s="67">
        <v>1347.42</v>
      </c>
      <c r="M63" s="68">
        <v>972</v>
      </c>
      <c r="N63" s="68">
        <v>1098</v>
      </c>
      <c r="O63" s="68">
        <v>1135</v>
      </c>
      <c r="P63" s="68">
        <v>805</v>
      </c>
      <c r="Q63" s="12">
        <f t="shared" si="2"/>
        <v>5357.42</v>
      </c>
    </row>
    <row r="64" spans="3:17" ht="23.4" x14ac:dyDescent="0.3">
      <c r="C64" s="12">
        <f t="shared" si="1"/>
        <v>25622</v>
      </c>
      <c r="D64" s="67">
        <f t="shared" si="3"/>
        <v>4360.0718817618363</v>
      </c>
      <c r="E64" s="67">
        <f t="shared" si="4"/>
        <v>3971.4326375205455</v>
      </c>
      <c r="F64" s="67">
        <f t="shared" si="5"/>
        <v>6985.0418821285803</v>
      </c>
      <c r="G64" s="67">
        <f t="shared" si="6"/>
        <v>5154.3498668053626</v>
      </c>
      <c r="H64" s="67">
        <f t="shared" si="7"/>
        <v>5151.1037317836744</v>
      </c>
      <c r="I64" s="12">
        <v>25622</v>
      </c>
      <c r="L64" s="67">
        <v>1020.8</v>
      </c>
      <c r="M64" s="68">
        <v>929.81</v>
      </c>
      <c r="N64" s="68">
        <v>1635.37</v>
      </c>
      <c r="O64" s="68">
        <v>1206.76</v>
      </c>
      <c r="P64" s="68">
        <v>1206</v>
      </c>
      <c r="Q64" s="12">
        <f t="shared" si="2"/>
        <v>5998.74</v>
      </c>
    </row>
    <row r="65" spans="3:17" ht="23.4" x14ac:dyDescent="0.3">
      <c r="C65" s="12">
        <f t="shared" si="1"/>
        <v>16441</v>
      </c>
      <c r="D65" s="67">
        <f t="shared" si="3"/>
        <v>3442.3204169466808</v>
      </c>
      <c r="E65" s="67">
        <f t="shared" si="4"/>
        <v>3232.3912950226631</v>
      </c>
      <c r="F65" s="67">
        <f t="shared" si="5"/>
        <v>2939.7717266968843</v>
      </c>
      <c r="G65" s="67">
        <f t="shared" si="6"/>
        <v>3611.7564915566863</v>
      </c>
      <c r="H65" s="67">
        <f t="shared" si="7"/>
        <v>3214.7600697770849</v>
      </c>
      <c r="I65" s="12">
        <v>16441</v>
      </c>
      <c r="L65" s="67">
        <v>1171.44</v>
      </c>
      <c r="M65" s="68">
        <v>1100</v>
      </c>
      <c r="N65" s="68">
        <v>1000.42</v>
      </c>
      <c r="O65" s="68">
        <v>1229.0999999999999</v>
      </c>
      <c r="P65" s="68">
        <v>1094</v>
      </c>
      <c r="Q65" s="12">
        <f t="shared" si="2"/>
        <v>5594.96</v>
      </c>
    </row>
    <row r="66" spans="3:17" ht="23.4" x14ac:dyDescent="0.3">
      <c r="C66" s="12">
        <f t="shared" si="1"/>
        <v>17373</v>
      </c>
      <c r="D66" s="67">
        <f t="shared" si="3"/>
        <v>4316.9733464087776</v>
      </c>
      <c r="E66" s="67">
        <f t="shared" si="4"/>
        <v>3617.8124285750564</v>
      </c>
      <c r="F66" s="67">
        <f t="shared" si="5"/>
        <v>3275.0365793385831</v>
      </c>
      <c r="G66" s="67">
        <f t="shared" si="6"/>
        <v>3410.7893909173845</v>
      </c>
      <c r="H66" s="67">
        <f t="shared" si="7"/>
        <v>2752.3882547601975</v>
      </c>
      <c r="I66" s="12">
        <v>17373</v>
      </c>
      <c r="L66" s="67">
        <v>1272.01</v>
      </c>
      <c r="M66" s="68">
        <v>1066</v>
      </c>
      <c r="N66" s="68">
        <v>965</v>
      </c>
      <c r="O66" s="68">
        <v>1005</v>
      </c>
      <c r="P66" s="68">
        <v>811</v>
      </c>
      <c r="Q66" s="12">
        <f t="shared" si="2"/>
        <v>5119.01</v>
      </c>
    </row>
    <row r="67" spans="3:17" ht="23.4" x14ac:dyDescent="0.3">
      <c r="C67" s="12">
        <f t="shared" si="1"/>
        <v>18249</v>
      </c>
      <c r="D67" s="67">
        <f t="shared" si="3"/>
        <v>2466.3381222568391</v>
      </c>
      <c r="E67" s="67">
        <f t="shared" si="4"/>
        <v>4327.8069497191455</v>
      </c>
      <c r="F67" s="67">
        <f t="shared" si="5"/>
        <v>3217.0123882837197</v>
      </c>
      <c r="G67" s="67">
        <f t="shared" si="6"/>
        <v>4412.8829054192338</v>
      </c>
      <c r="H67" s="67">
        <f t="shared" si="7"/>
        <v>3824.9596343210605</v>
      </c>
      <c r="I67" s="12">
        <v>18249</v>
      </c>
      <c r="L67" s="67">
        <v>713.15</v>
      </c>
      <c r="M67" s="68">
        <v>1251.4000000000001</v>
      </c>
      <c r="N67" s="68">
        <v>930.21</v>
      </c>
      <c r="O67" s="68">
        <v>1276</v>
      </c>
      <c r="P67" s="68">
        <v>1106</v>
      </c>
      <c r="Q67" s="12">
        <f t="shared" si="2"/>
        <v>5276.76</v>
      </c>
    </row>
    <row r="68" spans="3:17" ht="23.4" x14ac:dyDescent="0.3">
      <c r="C68" s="12">
        <f t="shared" si="1"/>
        <v>12104.000000000002</v>
      </c>
      <c r="D68" s="67">
        <f t="shared" si="3"/>
        <v>1846.6344840149377</v>
      </c>
      <c r="E68" s="67">
        <f t="shared" si="4"/>
        <v>3077.4714910283274</v>
      </c>
      <c r="F68" s="67">
        <f t="shared" si="5"/>
        <v>1974.1762911011933</v>
      </c>
      <c r="G68" s="67">
        <f t="shared" si="6"/>
        <v>2794.0682211494673</v>
      </c>
      <c r="H68" s="67">
        <f t="shared" si="7"/>
        <v>2411.6495127060757</v>
      </c>
      <c r="I68" s="12">
        <v>12104</v>
      </c>
      <c r="L68" s="67">
        <v>536</v>
      </c>
      <c r="M68" s="68">
        <v>893.26</v>
      </c>
      <c r="N68" s="68">
        <v>573.02</v>
      </c>
      <c r="O68" s="68">
        <v>811</v>
      </c>
      <c r="P68" s="68">
        <v>700</v>
      </c>
      <c r="Q68" s="12">
        <f t="shared" si="2"/>
        <v>3513.2799999999997</v>
      </c>
    </row>
    <row r="69" spans="3:17" ht="23.4" x14ac:dyDescent="0.3">
      <c r="C69" s="12">
        <f t="shared" ref="C69:C132" si="8">SUM(D69:H69)</f>
        <v>23698</v>
      </c>
      <c r="D69" s="67">
        <f t="shared" si="3"/>
        <v>5097.5229819965325</v>
      </c>
      <c r="E69" s="67">
        <f t="shared" si="4"/>
        <v>4558.4971093996219</v>
      </c>
      <c r="F69" s="67">
        <f t="shared" si="5"/>
        <v>5041.6832158052312</v>
      </c>
      <c r="G69" s="67">
        <f t="shared" si="6"/>
        <v>3938.5415025212728</v>
      </c>
      <c r="H69" s="67">
        <f t="shared" si="7"/>
        <v>5061.7551902773394</v>
      </c>
      <c r="I69" s="12">
        <v>23698</v>
      </c>
      <c r="L69" s="67">
        <v>1747.26</v>
      </c>
      <c r="M69" s="68">
        <v>1562.5</v>
      </c>
      <c r="N69" s="68">
        <v>1728.12</v>
      </c>
      <c r="O69" s="68">
        <v>1350</v>
      </c>
      <c r="P69" s="68">
        <v>1735</v>
      </c>
      <c r="Q69" s="12">
        <f t="shared" ref="Q69:Q132" si="9">SUM(L69:P69)</f>
        <v>8122.88</v>
      </c>
    </row>
    <row r="70" spans="3:17" ht="23.4" x14ac:dyDescent="0.3">
      <c r="C70" s="12">
        <f t="shared" si="8"/>
        <v>11139</v>
      </c>
      <c r="D70" s="67">
        <f t="shared" ref="D70:D114" si="10">(L70/$Q70)*$I70</f>
        <v>2340.5792502115451</v>
      </c>
      <c r="E70" s="67">
        <f t="shared" ref="E70:E114" si="11">(M70/$Q70)*$I70</f>
        <v>2663.7540929325633</v>
      </c>
      <c r="F70" s="67">
        <f t="shared" ref="F70:F114" si="12">(N70/$Q70)*$I70</f>
        <v>1696.0600419410616</v>
      </c>
      <c r="G70" s="67">
        <f t="shared" ref="G70:G114" si="13">(O70/$Q70)*$I70</f>
        <v>2255.6942864500938</v>
      </c>
      <c r="H70" s="67">
        <f t="shared" ref="H70:H114" si="14">(P70/$Q70)*$I70</f>
        <v>2182.9123284647367</v>
      </c>
      <c r="I70" s="12">
        <v>11139</v>
      </c>
      <c r="L70" s="67">
        <v>856.71</v>
      </c>
      <c r="M70" s="68">
        <v>975</v>
      </c>
      <c r="N70" s="68">
        <v>620.79999999999995</v>
      </c>
      <c r="O70" s="68">
        <v>825.64</v>
      </c>
      <c r="P70" s="68">
        <v>799</v>
      </c>
      <c r="Q70" s="12">
        <f t="shared" si="9"/>
        <v>4077.15</v>
      </c>
    </row>
    <row r="71" spans="3:17" ht="23.4" x14ac:dyDescent="0.3">
      <c r="C71" s="12">
        <f t="shared" si="8"/>
        <v>54816.000000000007</v>
      </c>
      <c r="D71" s="67">
        <f t="shared" si="10"/>
        <v>11784.685630622711</v>
      </c>
      <c r="E71" s="67">
        <f t="shared" si="11"/>
        <v>10032.030832277722</v>
      </c>
      <c r="F71" s="67">
        <f t="shared" si="12"/>
        <v>11908.414010887469</v>
      </c>
      <c r="G71" s="67">
        <f t="shared" si="13"/>
        <v>10232.671448923276</v>
      </c>
      <c r="H71" s="67">
        <f t="shared" si="14"/>
        <v>10858.198077288827</v>
      </c>
      <c r="I71" s="12">
        <v>54816</v>
      </c>
      <c r="L71" s="67">
        <v>1198.2</v>
      </c>
      <c r="M71" s="68">
        <v>1020</v>
      </c>
      <c r="N71" s="68">
        <v>1210.78</v>
      </c>
      <c r="O71" s="68">
        <v>1040.4000000000001</v>
      </c>
      <c r="P71" s="68">
        <v>1104</v>
      </c>
      <c r="Q71" s="12">
        <f t="shared" si="9"/>
        <v>5573.3799999999992</v>
      </c>
    </row>
    <row r="72" spans="3:17" ht="23.4" x14ac:dyDescent="0.3">
      <c r="C72" s="12">
        <f t="shared" si="8"/>
        <v>20588</v>
      </c>
      <c r="D72" s="67">
        <f t="shared" si="10"/>
        <v>3563.6929095552764</v>
      </c>
      <c r="E72" s="67">
        <f t="shared" si="11"/>
        <v>0</v>
      </c>
      <c r="F72" s="67">
        <f t="shared" si="12"/>
        <v>881.89871082823197</v>
      </c>
      <c r="G72" s="67">
        <f t="shared" si="13"/>
        <v>7900.3643531844164</v>
      </c>
      <c r="H72" s="67">
        <f t="shared" si="14"/>
        <v>8242.044026432075</v>
      </c>
      <c r="I72" s="12">
        <v>20588</v>
      </c>
      <c r="L72" s="67">
        <v>341.58000000000004</v>
      </c>
      <c r="M72" s="68">
        <v>0</v>
      </c>
      <c r="N72" s="68">
        <v>84.53</v>
      </c>
      <c r="O72" s="68">
        <v>757.25</v>
      </c>
      <c r="P72" s="68">
        <v>790</v>
      </c>
      <c r="Q72" s="12">
        <f t="shared" si="9"/>
        <v>1973.3600000000001</v>
      </c>
    </row>
    <row r="73" spans="3:17" ht="23.4" x14ac:dyDescent="0.3">
      <c r="C73" s="12">
        <f t="shared" si="8"/>
        <v>11151</v>
      </c>
      <c r="D73" s="67">
        <f t="shared" si="10"/>
        <v>2852.210517696893</v>
      </c>
      <c r="E73" s="67">
        <f t="shared" si="11"/>
        <v>1408.8183966898841</v>
      </c>
      <c r="F73" s="67">
        <f t="shared" si="12"/>
        <v>2059.5104969540821</v>
      </c>
      <c r="G73" s="67">
        <f t="shared" si="13"/>
        <v>1872.2158671586717</v>
      </c>
      <c r="H73" s="67">
        <f t="shared" si="14"/>
        <v>2958.244721500469</v>
      </c>
      <c r="I73" s="12">
        <v>11151</v>
      </c>
      <c r="L73" s="67">
        <v>468.58</v>
      </c>
      <c r="M73" s="68">
        <v>231.45</v>
      </c>
      <c r="N73" s="68">
        <v>338.35</v>
      </c>
      <c r="O73" s="68">
        <v>307.58</v>
      </c>
      <c r="P73" s="68">
        <v>486</v>
      </c>
      <c r="Q73" s="12">
        <f t="shared" si="9"/>
        <v>1831.96</v>
      </c>
    </row>
    <row r="74" spans="3:17" ht="23.4" x14ac:dyDescent="0.3">
      <c r="C74" s="12">
        <f t="shared" si="8"/>
        <v>28405</v>
      </c>
      <c r="D74" s="67">
        <f t="shared" si="10"/>
        <v>3023.6396154034283</v>
      </c>
      <c r="E74" s="67">
        <f t="shared" si="11"/>
        <v>1635.494126936434</v>
      </c>
      <c r="F74" s="67">
        <f t="shared" si="12"/>
        <v>7232.1391507291537</v>
      </c>
      <c r="G74" s="67">
        <f t="shared" si="13"/>
        <v>8530.7691232679517</v>
      </c>
      <c r="H74" s="67">
        <f t="shared" si="14"/>
        <v>7982.957983663031</v>
      </c>
      <c r="I74" s="12">
        <v>28405</v>
      </c>
      <c r="L74" s="67">
        <v>761.69</v>
      </c>
      <c r="M74" s="68">
        <v>412</v>
      </c>
      <c r="N74" s="68">
        <v>1821.86</v>
      </c>
      <c r="O74" s="68">
        <v>2149</v>
      </c>
      <c r="P74" s="68">
        <v>2011</v>
      </c>
      <c r="Q74" s="12">
        <f t="shared" si="9"/>
        <v>7155.55</v>
      </c>
    </row>
    <row r="75" spans="3:17" ht="23.4" x14ac:dyDescent="0.3">
      <c r="C75" s="12">
        <f t="shared" si="8"/>
        <v>14189</v>
      </c>
      <c r="D75" s="67">
        <f t="shared" si="10"/>
        <v>2823.422826747928</v>
      </c>
      <c r="E75" s="67">
        <f t="shared" si="11"/>
        <v>2360.7938937817285</v>
      </c>
      <c r="F75" s="67">
        <f t="shared" si="12"/>
        <v>1874.3645829774732</v>
      </c>
      <c r="G75" s="67">
        <f t="shared" si="13"/>
        <v>4430.4573002001916</v>
      </c>
      <c r="H75" s="67">
        <f t="shared" si="14"/>
        <v>2699.9613962926774</v>
      </c>
      <c r="I75" s="12">
        <v>14189</v>
      </c>
      <c r="L75" s="67">
        <v>582.47</v>
      </c>
      <c r="M75" s="68">
        <v>487.03</v>
      </c>
      <c r="N75" s="68">
        <v>386.68</v>
      </c>
      <c r="O75" s="68">
        <v>914</v>
      </c>
      <c r="P75" s="68">
        <v>557</v>
      </c>
      <c r="Q75" s="12">
        <f t="shared" si="9"/>
        <v>2927.1800000000003</v>
      </c>
    </row>
    <row r="76" spans="3:17" ht="23.4" x14ac:dyDescent="0.3">
      <c r="C76" s="12">
        <f t="shared" si="8"/>
        <v>21676</v>
      </c>
      <c r="D76" s="67">
        <f t="shared" si="10"/>
        <v>3061.413120828819</v>
      </c>
      <c r="E76" s="67">
        <f t="shared" si="11"/>
        <v>4410.422102691995</v>
      </c>
      <c r="F76" s="67">
        <f t="shared" si="12"/>
        <v>3923.6254543822647</v>
      </c>
      <c r="G76" s="67">
        <f t="shared" si="13"/>
        <v>5715.5179412877205</v>
      </c>
      <c r="H76" s="67">
        <f t="shared" si="14"/>
        <v>4565.0213808092012</v>
      </c>
      <c r="I76" s="12">
        <v>21676</v>
      </c>
      <c r="L76" s="67">
        <v>881.2</v>
      </c>
      <c r="M76" s="68">
        <v>1269.5</v>
      </c>
      <c r="N76" s="68">
        <v>1129.3800000000001</v>
      </c>
      <c r="O76" s="68">
        <v>1645.16</v>
      </c>
      <c r="P76" s="68">
        <v>1314</v>
      </c>
      <c r="Q76" s="12">
        <f t="shared" si="9"/>
        <v>6239.24</v>
      </c>
    </row>
    <row r="77" spans="3:17" ht="23.4" x14ac:dyDescent="0.3">
      <c r="C77" s="12">
        <f t="shared" si="8"/>
        <v>21601</v>
      </c>
      <c r="D77" s="67">
        <f t="shared" si="10"/>
        <v>4782.9263723373051</v>
      </c>
      <c r="E77" s="67">
        <f t="shared" si="11"/>
        <v>3835.6474552773993</v>
      </c>
      <c r="F77" s="67">
        <f t="shared" si="12"/>
        <v>7321.3850862459676</v>
      </c>
      <c r="G77" s="67">
        <f t="shared" si="13"/>
        <v>2320.8304673545013</v>
      </c>
      <c r="H77" s="67">
        <f t="shared" si="14"/>
        <v>3340.2106187848244</v>
      </c>
      <c r="I77" s="12">
        <v>21601</v>
      </c>
      <c r="L77" s="67">
        <v>830.53</v>
      </c>
      <c r="M77" s="68">
        <v>666.04</v>
      </c>
      <c r="N77" s="68">
        <f>308+963.32</f>
        <v>1271.3200000000002</v>
      </c>
      <c r="O77" s="68">
        <v>403</v>
      </c>
      <c r="P77" s="68">
        <v>580.01</v>
      </c>
      <c r="Q77" s="12">
        <f t="shared" si="9"/>
        <v>3750.9000000000005</v>
      </c>
    </row>
    <row r="78" spans="3:17" ht="23.4" x14ac:dyDescent="0.3">
      <c r="C78" s="12">
        <f t="shared" si="8"/>
        <v>12326</v>
      </c>
      <c r="D78" s="67">
        <f t="shared" si="10"/>
        <v>2428.4769270126139</v>
      </c>
      <c r="E78" s="67">
        <f t="shared" si="11"/>
        <v>2341.1080307771022</v>
      </c>
      <c r="F78" s="67">
        <f t="shared" si="12"/>
        <v>2445.1163114705705</v>
      </c>
      <c r="G78" s="67">
        <f t="shared" si="13"/>
        <v>1838.5792156168213</v>
      </c>
      <c r="H78" s="67">
        <f t="shared" si="14"/>
        <v>3272.7195151228921</v>
      </c>
      <c r="I78" s="12">
        <v>12326</v>
      </c>
      <c r="L78" s="67">
        <v>500.6</v>
      </c>
      <c r="M78" s="68">
        <v>482.59</v>
      </c>
      <c r="N78" s="68">
        <v>504.03</v>
      </c>
      <c r="O78" s="68">
        <v>379</v>
      </c>
      <c r="P78" s="68">
        <v>674.63</v>
      </c>
      <c r="Q78" s="12">
        <f t="shared" si="9"/>
        <v>2540.85</v>
      </c>
    </row>
    <row r="79" spans="3:17" ht="23.4" x14ac:dyDescent="0.3">
      <c r="C79" s="12">
        <f t="shared" si="8"/>
        <v>14441</v>
      </c>
      <c r="D79" s="67">
        <f t="shared" si="10"/>
        <v>3796.0568389406067</v>
      </c>
      <c r="E79" s="67">
        <f t="shared" si="11"/>
        <v>2203.2367367940915</v>
      </c>
      <c r="F79" s="67">
        <f t="shared" si="12"/>
        <v>801.47197936397731</v>
      </c>
      <c r="G79" s="67">
        <f t="shared" si="13"/>
        <v>4239.6245295440694</v>
      </c>
      <c r="H79" s="67">
        <f t="shared" si="14"/>
        <v>3400.6099153572545</v>
      </c>
      <c r="I79" s="12">
        <v>14441</v>
      </c>
      <c r="L79" s="67">
        <v>1169.8800000000001</v>
      </c>
      <c r="M79" s="68">
        <v>679</v>
      </c>
      <c r="N79" s="68">
        <v>247</v>
      </c>
      <c r="O79" s="68">
        <v>1306.58</v>
      </c>
      <c r="P79" s="68">
        <v>1048.01</v>
      </c>
      <c r="Q79" s="12">
        <f t="shared" si="9"/>
        <v>4450.47</v>
      </c>
    </row>
    <row r="80" spans="3:17" ht="23.4" x14ac:dyDescent="0.3">
      <c r="C80" s="12">
        <f t="shared" si="8"/>
        <v>13046.000000000002</v>
      </c>
      <c r="D80" s="67">
        <f t="shared" si="10"/>
        <v>3250.7635426569141</v>
      </c>
      <c r="E80" s="67">
        <f t="shared" si="11"/>
        <v>2987.7587737561184</v>
      </c>
      <c r="F80" s="67">
        <f t="shared" si="12"/>
        <v>1829.553828869527</v>
      </c>
      <c r="G80" s="67">
        <f t="shared" si="13"/>
        <v>3028.7571788848477</v>
      </c>
      <c r="H80" s="67">
        <f t="shared" si="14"/>
        <v>1949.1666758325939</v>
      </c>
      <c r="I80" s="12">
        <v>13046</v>
      </c>
      <c r="L80" s="67">
        <v>634.31999999999994</v>
      </c>
      <c r="M80" s="68">
        <v>583</v>
      </c>
      <c r="N80" s="68">
        <v>357</v>
      </c>
      <c r="O80" s="68">
        <v>591</v>
      </c>
      <c r="P80" s="68">
        <v>380.34000000000003</v>
      </c>
      <c r="Q80" s="12">
        <f t="shared" si="9"/>
        <v>2545.66</v>
      </c>
    </row>
    <row r="81" spans="3:17" ht="23.4" x14ac:dyDescent="0.3">
      <c r="C81" s="12">
        <f t="shared" si="8"/>
        <v>14115</v>
      </c>
      <c r="D81" s="67">
        <f t="shared" si="10"/>
        <v>2913.15912245658</v>
      </c>
      <c r="E81" s="67">
        <f t="shared" si="11"/>
        <v>3084.2065883468194</v>
      </c>
      <c r="F81" s="67">
        <f t="shared" si="12"/>
        <v>2464.3705860446221</v>
      </c>
      <c r="G81" s="67">
        <f t="shared" si="13"/>
        <v>2626.7207231607813</v>
      </c>
      <c r="H81" s="67">
        <f t="shared" si="14"/>
        <v>3026.5429799911976</v>
      </c>
      <c r="I81" s="12">
        <v>14115</v>
      </c>
      <c r="L81" s="67">
        <v>914.41000000000008</v>
      </c>
      <c r="M81" s="68">
        <v>968.1</v>
      </c>
      <c r="N81" s="68">
        <v>773.54</v>
      </c>
      <c r="O81" s="68">
        <v>824.5</v>
      </c>
      <c r="P81" s="68">
        <v>950</v>
      </c>
      <c r="Q81" s="12">
        <f t="shared" si="9"/>
        <v>4430.55</v>
      </c>
    </row>
    <row r="82" spans="3:17" ht="23.4" x14ac:dyDescent="0.3">
      <c r="C82" s="12">
        <f t="shared" si="8"/>
        <v>16134.999999999998</v>
      </c>
      <c r="D82" s="67">
        <f t="shared" si="10"/>
        <v>2576.2000403855941</v>
      </c>
      <c r="E82" s="67">
        <f t="shared" si="11"/>
        <v>3992.457024459623</v>
      </c>
      <c r="F82" s="67">
        <f t="shared" si="12"/>
        <v>3263.4341451423152</v>
      </c>
      <c r="G82" s="67">
        <f t="shared" si="13"/>
        <v>2945.6411388737683</v>
      </c>
      <c r="H82" s="67">
        <f t="shared" si="14"/>
        <v>3357.2676511386976</v>
      </c>
      <c r="I82" s="12">
        <v>16135</v>
      </c>
      <c r="L82" s="67">
        <v>909.31</v>
      </c>
      <c r="M82" s="68">
        <v>1409.2</v>
      </c>
      <c r="N82" s="68">
        <v>1151.8800000000001</v>
      </c>
      <c r="O82" s="68">
        <v>1039.71</v>
      </c>
      <c r="P82" s="68">
        <v>1185</v>
      </c>
      <c r="Q82" s="12">
        <f t="shared" si="9"/>
        <v>5695.1</v>
      </c>
    </row>
    <row r="83" spans="3:17" ht="23.4" x14ac:dyDescent="0.3">
      <c r="C83" s="12">
        <f t="shared" si="8"/>
        <v>30267</v>
      </c>
      <c r="D83" s="67">
        <f t="shared" si="10"/>
        <v>5764.7707966016833</v>
      </c>
      <c r="E83" s="67">
        <f t="shared" si="11"/>
        <v>7365.9853035083661</v>
      </c>
      <c r="F83" s="67">
        <f t="shared" si="12"/>
        <v>4502.2473686465783</v>
      </c>
      <c r="G83" s="67">
        <f t="shared" si="13"/>
        <v>6500.4203466248337</v>
      </c>
      <c r="H83" s="67">
        <f t="shared" si="14"/>
        <v>6133.576184618536</v>
      </c>
      <c r="I83" s="12">
        <v>30267</v>
      </c>
      <c r="L83" s="67">
        <v>1822.4099999999999</v>
      </c>
      <c r="M83" s="68">
        <v>2328.6</v>
      </c>
      <c r="N83" s="68">
        <v>1423.29</v>
      </c>
      <c r="O83" s="68">
        <v>2054.9699999999998</v>
      </c>
      <c r="P83" s="68">
        <v>1939</v>
      </c>
      <c r="Q83" s="12">
        <f t="shared" si="9"/>
        <v>9568.27</v>
      </c>
    </row>
    <row r="84" spans="3:17" ht="23.4" x14ac:dyDescent="0.3">
      <c r="C84" s="12">
        <f t="shared" si="8"/>
        <v>16828</v>
      </c>
      <c r="D84" s="67">
        <f t="shared" si="10"/>
        <v>3269.0454550360296</v>
      </c>
      <c r="E84" s="67">
        <f t="shared" si="11"/>
        <v>2351.9619235376863</v>
      </c>
      <c r="F84" s="67">
        <f t="shared" si="12"/>
        <v>2992.8034406961979</v>
      </c>
      <c r="G84" s="67">
        <f t="shared" si="13"/>
        <v>2523.4704982965604</v>
      </c>
      <c r="H84" s="67">
        <f t="shared" si="14"/>
        <v>5690.7186824335258</v>
      </c>
      <c r="I84" s="12">
        <v>16828</v>
      </c>
      <c r="L84" s="67">
        <v>1079.97</v>
      </c>
      <c r="M84" s="68">
        <v>777</v>
      </c>
      <c r="N84" s="68">
        <v>988.71</v>
      </c>
      <c r="O84" s="68">
        <v>833.66</v>
      </c>
      <c r="P84" s="68">
        <v>1880</v>
      </c>
      <c r="Q84" s="12">
        <f t="shared" si="9"/>
        <v>5559.34</v>
      </c>
    </row>
    <row r="85" spans="3:17" ht="23.4" x14ac:dyDescent="0.3">
      <c r="C85" s="12">
        <f t="shared" si="8"/>
        <v>15133</v>
      </c>
      <c r="D85" s="67">
        <f t="shared" si="10"/>
        <v>3270.2910863509751</v>
      </c>
      <c r="E85" s="67">
        <f t="shared" si="11"/>
        <v>2299.5381908811023</v>
      </c>
      <c r="F85" s="67">
        <f t="shared" si="12"/>
        <v>2977.6771001319453</v>
      </c>
      <c r="G85" s="67">
        <f t="shared" si="13"/>
        <v>2744.9350535112153</v>
      </c>
      <c r="H85" s="67">
        <f t="shared" si="14"/>
        <v>3840.558569124762</v>
      </c>
      <c r="I85" s="12">
        <v>15133</v>
      </c>
      <c r="L85" s="67">
        <v>1090.79</v>
      </c>
      <c r="M85" s="68">
        <v>767</v>
      </c>
      <c r="N85" s="68">
        <v>993.19</v>
      </c>
      <c r="O85" s="68">
        <v>915.56</v>
      </c>
      <c r="P85" s="68">
        <v>1281</v>
      </c>
      <c r="Q85" s="12">
        <f t="shared" si="9"/>
        <v>5047.54</v>
      </c>
    </row>
    <row r="86" spans="3:17" ht="23.4" x14ac:dyDescent="0.3">
      <c r="C86" s="12">
        <f t="shared" si="8"/>
        <v>16866.000000000004</v>
      </c>
      <c r="D86" s="67">
        <f t="shared" si="10"/>
        <v>2839.2883713531719</v>
      </c>
      <c r="E86" s="67">
        <f t="shared" si="11"/>
        <v>4773.1980168228929</v>
      </c>
      <c r="F86" s="67">
        <f t="shared" si="12"/>
        <v>2218.6788912759757</v>
      </c>
      <c r="G86" s="67">
        <f t="shared" si="13"/>
        <v>2751.9828398068958</v>
      </c>
      <c r="H86" s="67">
        <f t="shared" si="14"/>
        <v>4282.8518807410665</v>
      </c>
      <c r="I86" s="12">
        <v>16866</v>
      </c>
      <c r="L86" s="67">
        <v>878.4</v>
      </c>
      <c r="M86" s="68">
        <v>1476.7</v>
      </c>
      <c r="N86" s="68">
        <v>686.4</v>
      </c>
      <c r="O86" s="68">
        <v>851.39</v>
      </c>
      <c r="P86" s="68">
        <v>1325</v>
      </c>
      <c r="Q86" s="12">
        <f t="shared" si="9"/>
        <v>5217.8899999999994</v>
      </c>
    </row>
    <row r="87" spans="3:17" ht="23.4" x14ac:dyDescent="0.3">
      <c r="C87" s="12">
        <f t="shared" si="8"/>
        <v>11296</v>
      </c>
      <c r="D87" s="67">
        <f t="shared" si="10"/>
        <v>2007.8128453056106</v>
      </c>
      <c r="E87" s="67">
        <f t="shared" si="11"/>
        <v>2739.35990025416</v>
      </c>
      <c r="F87" s="67">
        <f t="shared" si="12"/>
        <v>1739.131312672416</v>
      </c>
      <c r="G87" s="67">
        <f t="shared" si="13"/>
        <v>1548.1119717723311</v>
      </c>
      <c r="H87" s="67">
        <f t="shared" si="14"/>
        <v>3261.5839699954818</v>
      </c>
      <c r="I87" s="12">
        <v>11296</v>
      </c>
      <c r="L87" s="67">
        <v>704.24</v>
      </c>
      <c r="M87" s="68">
        <v>960.83</v>
      </c>
      <c r="N87" s="68">
        <v>610</v>
      </c>
      <c r="O87" s="68">
        <v>543</v>
      </c>
      <c r="P87" s="68">
        <v>1144</v>
      </c>
      <c r="Q87" s="12">
        <f t="shared" si="9"/>
        <v>3962.07</v>
      </c>
    </row>
    <row r="88" spans="3:17" ht="23.4" x14ac:dyDescent="0.3">
      <c r="C88" s="12">
        <f t="shared" si="8"/>
        <v>8665.9999999999982</v>
      </c>
      <c r="D88" s="67">
        <f t="shared" si="10"/>
        <v>2008.8573976018658</v>
      </c>
      <c r="E88" s="67">
        <f t="shared" si="11"/>
        <v>1400.7690825368793</v>
      </c>
      <c r="F88" s="67">
        <f t="shared" si="12"/>
        <v>1646.5267899001112</v>
      </c>
      <c r="G88" s="67">
        <f t="shared" si="13"/>
        <v>1159.7470713601601</v>
      </c>
      <c r="H88" s="67">
        <f t="shared" si="14"/>
        <v>2450.0996586009828</v>
      </c>
      <c r="I88" s="12">
        <v>8666</v>
      </c>
      <c r="L88" s="67">
        <v>805.97</v>
      </c>
      <c r="M88" s="68">
        <v>562</v>
      </c>
      <c r="N88" s="68">
        <v>660.6</v>
      </c>
      <c r="O88" s="68">
        <v>465.3</v>
      </c>
      <c r="P88" s="68">
        <v>983</v>
      </c>
      <c r="Q88" s="12">
        <f t="shared" si="9"/>
        <v>3476.8700000000003</v>
      </c>
    </row>
    <row r="89" spans="3:17" ht="23.4" x14ac:dyDescent="0.3">
      <c r="C89" s="12">
        <f t="shared" si="8"/>
        <v>15972</v>
      </c>
      <c r="D89" s="67">
        <f t="shared" si="10"/>
        <v>2690.2935994162658</v>
      </c>
      <c r="E89" s="67">
        <f t="shared" si="11"/>
        <v>3088.6621209234781</v>
      </c>
      <c r="F89" s="67">
        <f t="shared" si="12"/>
        <v>2827.3314522535215</v>
      </c>
      <c r="G89" s="67">
        <f t="shared" si="13"/>
        <v>3542.2017260404946</v>
      </c>
      <c r="H89" s="67">
        <f t="shared" si="14"/>
        <v>3823.5111013662386</v>
      </c>
      <c r="I89" s="12">
        <v>15972</v>
      </c>
      <c r="L89" s="67">
        <v>937.22</v>
      </c>
      <c r="M89" s="68">
        <v>1076</v>
      </c>
      <c r="N89" s="68">
        <v>984.96</v>
      </c>
      <c r="O89" s="68">
        <v>1234</v>
      </c>
      <c r="P89" s="68">
        <v>1332</v>
      </c>
      <c r="Q89" s="12">
        <f t="shared" si="9"/>
        <v>5564.18</v>
      </c>
    </row>
    <row r="90" spans="3:17" ht="23.4" x14ac:dyDescent="0.3">
      <c r="C90" s="12">
        <f t="shared" si="8"/>
        <v>15567.000000000002</v>
      </c>
      <c r="D90" s="67">
        <f t="shared" si="10"/>
        <v>3203.1664901279551</v>
      </c>
      <c r="E90" s="67">
        <f t="shared" si="11"/>
        <v>3092.5248389966955</v>
      </c>
      <c r="F90" s="67">
        <f t="shared" si="12"/>
        <v>2763.7328086602834</v>
      </c>
      <c r="G90" s="67">
        <f t="shared" si="13"/>
        <v>3044.8714303872557</v>
      </c>
      <c r="H90" s="67">
        <f t="shared" si="14"/>
        <v>3462.7044318278113</v>
      </c>
      <c r="I90" s="12">
        <v>15567</v>
      </c>
      <c r="L90" s="67">
        <v>1165.56</v>
      </c>
      <c r="M90" s="68">
        <v>1125.3</v>
      </c>
      <c r="N90" s="68">
        <v>1005.66</v>
      </c>
      <c r="O90" s="68">
        <v>1107.96</v>
      </c>
      <c r="P90" s="68">
        <v>1260</v>
      </c>
      <c r="Q90" s="12">
        <f t="shared" si="9"/>
        <v>5664.48</v>
      </c>
    </row>
    <row r="91" spans="3:17" ht="23.4" x14ac:dyDescent="0.3">
      <c r="C91" s="12">
        <f t="shared" si="8"/>
        <v>10617</v>
      </c>
      <c r="D91" s="67">
        <f t="shared" si="10"/>
        <v>2164.6094723384967</v>
      </c>
      <c r="E91" s="67">
        <f t="shared" si="11"/>
        <v>1961.648962506574</v>
      </c>
      <c r="F91" s="67">
        <f t="shared" si="12"/>
        <v>1315.7252106840658</v>
      </c>
      <c r="G91" s="67">
        <f t="shared" si="13"/>
        <v>2755.4692343542229</v>
      </c>
      <c r="H91" s="67">
        <f t="shared" si="14"/>
        <v>2419.5471201166406</v>
      </c>
      <c r="I91" s="12">
        <v>10617</v>
      </c>
      <c r="L91" s="67">
        <v>476.84</v>
      </c>
      <c r="M91" s="68">
        <v>432.13</v>
      </c>
      <c r="N91" s="68">
        <v>289.83999999999997</v>
      </c>
      <c r="O91" s="68">
        <v>607</v>
      </c>
      <c r="P91" s="68">
        <v>533</v>
      </c>
      <c r="Q91" s="12">
        <f t="shared" si="9"/>
        <v>2338.81</v>
      </c>
    </row>
    <row r="92" spans="3:17" ht="23.4" x14ac:dyDescent="0.3">
      <c r="C92" s="12">
        <f t="shared" si="8"/>
        <v>14757</v>
      </c>
      <c r="D92" s="67">
        <f t="shared" si="10"/>
        <v>2227.5181700188309</v>
      </c>
      <c r="E92" s="67">
        <f t="shared" si="11"/>
        <v>3025.4468035807909</v>
      </c>
      <c r="F92" s="67">
        <f t="shared" si="12"/>
        <v>3410.5458172728577</v>
      </c>
      <c r="G92" s="67">
        <f t="shared" si="13"/>
        <v>1946.9377524431889</v>
      </c>
      <c r="H92" s="67">
        <f t="shared" si="14"/>
        <v>4146.5514566843331</v>
      </c>
      <c r="I92" s="12">
        <v>14757</v>
      </c>
      <c r="L92" s="67">
        <v>768.73</v>
      </c>
      <c r="M92" s="68">
        <v>1044.0999999999999</v>
      </c>
      <c r="N92" s="68">
        <v>1177</v>
      </c>
      <c r="O92" s="68">
        <v>671.9</v>
      </c>
      <c r="P92" s="68">
        <v>1431</v>
      </c>
      <c r="Q92" s="12">
        <f t="shared" si="9"/>
        <v>5092.7299999999996</v>
      </c>
    </row>
    <row r="93" spans="3:17" ht="23.4" x14ac:dyDescent="0.3">
      <c r="C93" s="12">
        <f t="shared" si="8"/>
        <v>25918</v>
      </c>
      <c r="D93" s="67">
        <f t="shared" si="10"/>
        <v>3778.0653188435517</v>
      </c>
      <c r="E93" s="67">
        <f t="shared" si="11"/>
        <v>3961.3035062538443</v>
      </c>
      <c r="F93" s="67">
        <f t="shared" si="12"/>
        <v>6462.2992768778622</v>
      </c>
      <c r="G93" s="67">
        <f t="shared" si="13"/>
        <v>5661.5356434966852</v>
      </c>
      <c r="H93" s="67">
        <f t="shared" si="14"/>
        <v>6054.796254528057</v>
      </c>
      <c r="I93" s="12">
        <v>25918</v>
      </c>
      <c r="L93" s="67">
        <v>1066.3800000000001</v>
      </c>
      <c r="M93" s="68">
        <v>1118.0999999999999</v>
      </c>
      <c r="N93" s="68">
        <v>1824.02</v>
      </c>
      <c r="O93" s="68">
        <v>1598</v>
      </c>
      <c r="P93" s="68">
        <v>1709</v>
      </c>
      <c r="Q93" s="12">
        <f t="shared" si="9"/>
        <v>7315.5</v>
      </c>
    </row>
    <row r="94" spans="3:17" ht="23.4" x14ac:dyDescent="0.3">
      <c r="C94" s="12">
        <f t="shared" si="8"/>
        <v>14429</v>
      </c>
      <c r="D94" s="67">
        <f t="shared" si="10"/>
        <v>2870.3526372438719</v>
      </c>
      <c r="E94" s="67">
        <f t="shared" si="11"/>
        <v>4413.0757067051727</v>
      </c>
      <c r="F94" s="67">
        <f t="shared" si="12"/>
        <v>2904.7688757385968</v>
      </c>
      <c r="G94" s="67">
        <f t="shared" si="13"/>
        <v>1504.9834430339379</v>
      </c>
      <c r="H94" s="67">
        <f t="shared" si="14"/>
        <v>2735.8193372784212</v>
      </c>
      <c r="I94" s="12">
        <v>14429</v>
      </c>
      <c r="L94" s="67">
        <v>898.23</v>
      </c>
      <c r="M94" s="68">
        <v>1381</v>
      </c>
      <c r="N94" s="68">
        <v>909</v>
      </c>
      <c r="O94" s="68">
        <v>470.96</v>
      </c>
      <c r="P94" s="68">
        <v>856.13</v>
      </c>
      <c r="Q94" s="12">
        <f t="shared" si="9"/>
        <v>4515.32</v>
      </c>
    </row>
    <row r="95" spans="3:17" ht="23.4" x14ac:dyDescent="0.3">
      <c r="C95" s="12">
        <f t="shared" si="8"/>
        <v>16526</v>
      </c>
      <c r="D95" s="67">
        <f t="shared" si="10"/>
        <v>3921.2962260367367</v>
      </c>
      <c r="E95" s="67">
        <f t="shared" si="11"/>
        <v>3019.5376112938156</v>
      </c>
      <c r="F95" s="67">
        <f t="shared" si="12"/>
        <v>2878.0982754471806</v>
      </c>
      <c r="G95" s="67">
        <f t="shared" si="13"/>
        <v>3701.3494425282747</v>
      </c>
      <c r="H95" s="67">
        <f t="shared" si="14"/>
        <v>3005.7184446939923</v>
      </c>
      <c r="I95" s="12">
        <v>16526</v>
      </c>
      <c r="L95" s="67">
        <v>1183.27</v>
      </c>
      <c r="M95" s="68">
        <v>911.16</v>
      </c>
      <c r="N95" s="68">
        <v>868.48</v>
      </c>
      <c r="O95" s="68">
        <v>1116.9000000000001</v>
      </c>
      <c r="P95" s="68">
        <v>906.99</v>
      </c>
      <c r="Q95" s="12">
        <f t="shared" si="9"/>
        <v>4986.8</v>
      </c>
    </row>
    <row r="96" spans="3:17" ht="23.4" x14ac:dyDescent="0.3">
      <c r="C96" s="12">
        <f t="shared" si="8"/>
        <v>11720</v>
      </c>
      <c r="D96" s="67">
        <f t="shared" si="10"/>
        <v>2603.0171046179585</v>
      </c>
      <c r="E96" s="67">
        <f t="shared" si="11"/>
        <v>2651.8471513135332</v>
      </c>
      <c r="F96" s="67">
        <f t="shared" si="12"/>
        <v>1690.2708471545184</v>
      </c>
      <c r="G96" s="67">
        <f t="shared" si="13"/>
        <v>1889.3471913749397</v>
      </c>
      <c r="H96" s="67">
        <f t="shared" si="14"/>
        <v>2885.5177055390504</v>
      </c>
      <c r="I96" s="12">
        <v>11720</v>
      </c>
      <c r="L96" s="67">
        <v>693</v>
      </c>
      <c r="M96" s="68">
        <v>706</v>
      </c>
      <c r="N96" s="68">
        <f>237+213</f>
        <v>450</v>
      </c>
      <c r="O96" s="68">
        <v>503</v>
      </c>
      <c r="P96" s="68">
        <v>768.21</v>
      </c>
      <c r="Q96" s="12">
        <f t="shared" si="9"/>
        <v>3120.21</v>
      </c>
    </row>
    <row r="97" spans="3:17" ht="23.4" x14ac:dyDescent="0.3">
      <c r="C97" s="12">
        <f t="shared" si="8"/>
        <v>28712</v>
      </c>
      <c r="D97" s="67">
        <f t="shared" si="10"/>
        <v>4730.4113752986796</v>
      </c>
      <c r="E97" s="67">
        <f t="shared" si="11"/>
        <v>5269.8368522072933</v>
      </c>
      <c r="F97" s="67">
        <f t="shared" si="12"/>
        <v>6491.3818010889572</v>
      </c>
      <c r="G97" s="67">
        <f t="shared" si="13"/>
        <v>4604.1658506012773</v>
      </c>
      <c r="H97" s="67">
        <f t="shared" si="14"/>
        <v>7616.2041208037908</v>
      </c>
      <c r="I97" s="12">
        <v>28712</v>
      </c>
      <c r="L97" s="67">
        <v>1345.92</v>
      </c>
      <c r="M97" s="68">
        <v>1499.4</v>
      </c>
      <c r="N97" s="68">
        <v>1846.96</v>
      </c>
      <c r="O97" s="68">
        <v>1310</v>
      </c>
      <c r="P97" s="68">
        <v>2167</v>
      </c>
      <c r="Q97" s="12">
        <f t="shared" si="9"/>
        <v>8169.2800000000007</v>
      </c>
    </row>
    <row r="98" spans="3:17" ht="23.4" x14ac:dyDescent="0.3">
      <c r="C98" s="12">
        <f t="shared" si="8"/>
        <v>14306</v>
      </c>
      <c r="D98" s="67">
        <f t="shared" si="10"/>
        <v>2516.7061173495722</v>
      </c>
      <c r="E98" s="67">
        <f t="shared" si="11"/>
        <v>3880.6398940666863</v>
      </c>
      <c r="F98" s="67">
        <f t="shared" si="12"/>
        <v>3204.880488370527</v>
      </c>
      <c r="G98" s="67">
        <f t="shared" si="13"/>
        <v>2242.185547883204</v>
      </c>
      <c r="H98" s="67">
        <f t="shared" si="14"/>
        <v>2461.5879523300091</v>
      </c>
      <c r="I98" s="12">
        <v>14306</v>
      </c>
      <c r="L98" s="67">
        <v>470.3</v>
      </c>
      <c r="M98" s="68">
        <v>725.18</v>
      </c>
      <c r="N98" s="68">
        <v>598.9</v>
      </c>
      <c r="O98" s="68">
        <v>419</v>
      </c>
      <c r="P98" s="68">
        <v>460</v>
      </c>
      <c r="Q98" s="12">
        <f t="shared" si="9"/>
        <v>2673.38</v>
      </c>
    </row>
    <row r="99" spans="3:17" ht="23.4" x14ac:dyDescent="0.3">
      <c r="C99" s="12">
        <f t="shared" si="8"/>
        <v>19550</v>
      </c>
      <c r="D99" s="67">
        <f t="shared" si="10"/>
        <v>3830.6080295847059</v>
      </c>
      <c r="E99" s="67">
        <f t="shared" si="11"/>
        <v>4017.3706246344245</v>
      </c>
      <c r="F99" s="67">
        <f t="shared" si="12"/>
        <v>3204.8687005510574</v>
      </c>
      <c r="G99" s="67">
        <f t="shared" si="13"/>
        <v>4009.8474586706893</v>
      </c>
      <c r="H99" s="67">
        <f t="shared" si="14"/>
        <v>4487.3051865591242</v>
      </c>
      <c r="I99" s="12">
        <v>19550</v>
      </c>
      <c r="L99" s="67">
        <v>1018.35</v>
      </c>
      <c r="M99" s="68">
        <v>1068</v>
      </c>
      <c r="N99" s="68">
        <v>852</v>
      </c>
      <c r="O99" s="68">
        <v>1066</v>
      </c>
      <c r="P99" s="68">
        <v>1192.93</v>
      </c>
      <c r="Q99" s="12">
        <f t="shared" si="9"/>
        <v>5197.28</v>
      </c>
    </row>
    <row r="100" spans="3:17" ht="23.4" x14ac:dyDescent="0.3">
      <c r="C100" s="12">
        <f t="shared" si="8"/>
        <v>21072.999999999996</v>
      </c>
      <c r="D100" s="67">
        <f t="shared" si="10"/>
        <v>1921.4009505958386</v>
      </c>
      <c r="E100" s="67">
        <f t="shared" si="11"/>
        <v>2690.3112331242892</v>
      </c>
      <c r="F100" s="67">
        <f t="shared" si="12"/>
        <v>4275.2676739938433</v>
      </c>
      <c r="G100" s="67">
        <f t="shared" si="13"/>
        <v>6321.7923377568877</v>
      </c>
      <c r="H100" s="67">
        <f t="shared" si="14"/>
        <v>5864.2278045291396</v>
      </c>
      <c r="I100" s="12">
        <v>21073</v>
      </c>
      <c r="L100" s="67">
        <v>571.09</v>
      </c>
      <c r="M100" s="68">
        <v>799.63</v>
      </c>
      <c r="N100" s="68">
        <v>1270.72</v>
      </c>
      <c r="O100" s="68">
        <v>1879</v>
      </c>
      <c r="P100" s="68">
        <v>1743</v>
      </c>
      <c r="Q100" s="12">
        <f t="shared" si="9"/>
        <v>6263.4400000000005</v>
      </c>
    </row>
    <row r="101" spans="3:17" ht="23.4" x14ac:dyDescent="0.3">
      <c r="C101" s="12">
        <f t="shared" si="8"/>
        <v>36313</v>
      </c>
      <c r="D101" s="67">
        <f t="shared" si="10"/>
        <v>2889.3564283154124</v>
      </c>
      <c r="E101" s="67">
        <f t="shared" si="11"/>
        <v>3207.0951783154123</v>
      </c>
      <c r="F101" s="67">
        <f t="shared" si="12"/>
        <v>9424.4274256272402</v>
      </c>
      <c r="G101" s="67">
        <f t="shared" si="13"/>
        <v>10793.030555555555</v>
      </c>
      <c r="H101" s="67">
        <f t="shared" si="14"/>
        <v>9999.0904121863805</v>
      </c>
      <c r="I101" s="12">
        <v>36313</v>
      </c>
      <c r="L101" s="67">
        <v>887.98</v>
      </c>
      <c r="M101" s="68">
        <v>985.63</v>
      </c>
      <c r="N101" s="68">
        <v>2896.39</v>
      </c>
      <c r="O101" s="68">
        <v>3317</v>
      </c>
      <c r="P101" s="68">
        <v>3073</v>
      </c>
      <c r="Q101" s="12">
        <f t="shared" si="9"/>
        <v>11160</v>
      </c>
    </row>
    <row r="102" spans="3:17" ht="23.4" x14ac:dyDescent="0.3">
      <c r="C102" s="12">
        <f t="shared" si="8"/>
        <v>27634.999999999996</v>
      </c>
      <c r="D102" s="67">
        <f t="shared" si="10"/>
        <v>4136.5775451770105</v>
      </c>
      <c r="E102" s="67">
        <f t="shared" si="11"/>
        <v>9974.3055753076587</v>
      </c>
      <c r="F102" s="67">
        <f t="shared" si="12"/>
        <v>5910.8936799590419</v>
      </c>
      <c r="G102" s="67">
        <f t="shared" si="13"/>
        <v>3709.308490718091</v>
      </c>
      <c r="H102" s="67">
        <f t="shared" si="14"/>
        <v>3903.9147088381969</v>
      </c>
      <c r="I102" s="12">
        <v>27635</v>
      </c>
      <c r="L102" s="67">
        <v>1263.04</v>
      </c>
      <c r="M102" s="68">
        <v>3045.5</v>
      </c>
      <c r="N102" s="68">
        <v>1804.8</v>
      </c>
      <c r="O102" s="68">
        <v>1132.58</v>
      </c>
      <c r="P102" s="68">
        <v>1192</v>
      </c>
      <c r="Q102" s="12">
        <f t="shared" si="9"/>
        <v>8437.92</v>
      </c>
    </row>
    <row r="103" spans="3:17" ht="23.4" x14ac:dyDescent="0.3">
      <c r="C103" s="12"/>
      <c r="D103" s="67"/>
      <c r="E103" s="67"/>
      <c r="F103" s="67"/>
      <c r="G103" s="67"/>
      <c r="H103" s="67"/>
      <c r="I103" s="12">
        <v>0</v>
      </c>
      <c r="L103" s="67">
        <v>0</v>
      </c>
      <c r="M103" s="68">
        <v>0</v>
      </c>
      <c r="N103" s="68">
        <v>0</v>
      </c>
      <c r="O103" s="68">
        <v>0</v>
      </c>
      <c r="P103" s="68">
        <v>0</v>
      </c>
      <c r="Q103" s="12">
        <f t="shared" si="9"/>
        <v>0</v>
      </c>
    </row>
    <row r="104" spans="3:17" ht="23.4" x14ac:dyDescent="0.3">
      <c r="C104" s="12">
        <f t="shared" si="8"/>
        <v>36705.000000000007</v>
      </c>
      <c r="D104" s="67">
        <f t="shared" si="10"/>
        <v>5982.3095479886861</v>
      </c>
      <c r="E104" s="67">
        <f t="shared" si="11"/>
        <v>7301.4162356510878</v>
      </c>
      <c r="F104" s="67">
        <f t="shared" si="12"/>
        <v>9997.8055208367605</v>
      </c>
      <c r="G104" s="67">
        <f t="shared" si="13"/>
        <v>10997.586072920436</v>
      </c>
      <c r="H104" s="67">
        <f t="shared" si="14"/>
        <v>2425.8826226030328</v>
      </c>
      <c r="I104" s="12">
        <v>36705</v>
      </c>
      <c r="L104" s="67">
        <v>1585.66</v>
      </c>
      <c r="M104" s="68">
        <v>1935.3</v>
      </c>
      <c r="N104" s="68">
        <f>2396+254</f>
        <v>2650</v>
      </c>
      <c r="O104" s="69">
        <v>2915</v>
      </c>
      <c r="P104" s="69">
        <v>643</v>
      </c>
      <c r="Q104" s="12">
        <f t="shared" si="9"/>
        <v>9728.9599999999991</v>
      </c>
    </row>
    <row r="105" spans="3:17" ht="23.4" x14ac:dyDescent="0.3">
      <c r="C105" s="12">
        <f t="shared" si="8"/>
        <v>39966</v>
      </c>
      <c r="D105" s="67">
        <f t="shared" si="10"/>
        <v>5625.8883020275662</v>
      </c>
      <c r="E105" s="67">
        <f t="shared" si="11"/>
        <v>8456.6142541418503</v>
      </c>
      <c r="F105" s="67">
        <f t="shared" si="12"/>
        <v>8997.6255526245768</v>
      </c>
      <c r="G105" s="67">
        <f t="shared" si="13"/>
        <v>8942.1942072709007</v>
      </c>
      <c r="H105" s="67">
        <f t="shared" si="14"/>
        <v>7943.677683935106</v>
      </c>
      <c r="I105" s="12">
        <v>39966</v>
      </c>
      <c r="L105" s="67">
        <v>1645.2</v>
      </c>
      <c r="M105" s="68">
        <v>2473</v>
      </c>
      <c r="N105" s="68">
        <v>2631.21</v>
      </c>
      <c r="O105" s="68">
        <v>2615</v>
      </c>
      <c r="P105" s="68">
        <v>2323</v>
      </c>
      <c r="Q105" s="12">
        <f t="shared" si="9"/>
        <v>11687.41</v>
      </c>
    </row>
    <row r="106" spans="3:17" ht="23.4" x14ac:dyDescent="0.3">
      <c r="C106" s="12">
        <f t="shared" si="8"/>
        <v>35574</v>
      </c>
      <c r="D106" s="67">
        <f t="shared" si="10"/>
        <v>6333.9520342087944</v>
      </c>
      <c r="E106" s="67">
        <f t="shared" si="11"/>
        <v>8607.915784317227</v>
      </c>
      <c r="F106" s="67">
        <f t="shared" si="12"/>
        <v>6995.9737310751998</v>
      </c>
      <c r="G106" s="67">
        <f t="shared" si="13"/>
        <v>8299.3232741244974</v>
      </c>
      <c r="H106" s="67">
        <f t="shared" si="14"/>
        <v>5336.8351762742832</v>
      </c>
      <c r="I106" s="12">
        <v>35574</v>
      </c>
      <c r="L106" s="67">
        <v>1744.65</v>
      </c>
      <c r="M106" s="68">
        <v>2371</v>
      </c>
      <c r="N106" s="68">
        <v>1927</v>
      </c>
      <c r="O106" s="68">
        <v>2286</v>
      </c>
      <c r="P106" s="68">
        <v>1470</v>
      </c>
      <c r="Q106" s="12">
        <f t="shared" si="9"/>
        <v>9798.65</v>
      </c>
    </row>
    <row r="107" spans="3:17" ht="23.4" x14ac:dyDescent="0.3">
      <c r="C107" s="12">
        <f t="shared" si="8"/>
        <v>29316</v>
      </c>
      <c r="D107" s="67">
        <f t="shared" si="10"/>
        <v>2630.6026132444335</v>
      </c>
      <c r="E107" s="67">
        <f t="shared" si="11"/>
        <v>5522.8017483081512</v>
      </c>
      <c r="F107" s="67">
        <f t="shared" si="12"/>
        <v>7715.258336341918</v>
      </c>
      <c r="G107" s="67">
        <f t="shared" si="13"/>
        <v>6999.3771229730464</v>
      </c>
      <c r="H107" s="67">
        <f t="shared" si="14"/>
        <v>6447.9601791324521</v>
      </c>
      <c r="I107" s="12">
        <v>29316</v>
      </c>
      <c r="L107" s="67">
        <v>700.90000000000009</v>
      </c>
      <c r="M107" s="68">
        <v>1471.5</v>
      </c>
      <c r="N107" s="68">
        <v>2055.66</v>
      </c>
      <c r="O107" s="68">
        <v>1864.92</v>
      </c>
      <c r="P107" s="68">
        <v>1718</v>
      </c>
      <c r="Q107" s="12">
        <f t="shared" si="9"/>
        <v>7810.98</v>
      </c>
    </row>
    <row r="108" spans="3:17" ht="23.4" x14ac:dyDescent="0.3">
      <c r="C108" s="12">
        <f t="shared" si="8"/>
        <v>20314</v>
      </c>
      <c r="D108" s="67">
        <f t="shared" si="10"/>
        <v>3570.1037129761417</v>
      </c>
      <c r="E108" s="67">
        <f t="shared" si="11"/>
        <v>5041.0642174401846</v>
      </c>
      <c r="F108" s="67">
        <f t="shared" si="12"/>
        <v>2969.106429072936</v>
      </c>
      <c r="G108" s="67">
        <f t="shared" si="13"/>
        <v>3933.8464210697584</v>
      </c>
      <c r="H108" s="67">
        <f t="shared" si="14"/>
        <v>4799.8792194409789</v>
      </c>
      <c r="I108" s="12">
        <v>20314</v>
      </c>
      <c r="L108" s="67">
        <v>1198.99</v>
      </c>
      <c r="M108" s="68">
        <v>1693</v>
      </c>
      <c r="N108" s="68">
        <v>997.15</v>
      </c>
      <c r="O108" s="68">
        <v>1321.15</v>
      </c>
      <c r="P108" s="68">
        <v>1612</v>
      </c>
      <c r="Q108" s="12">
        <f t="shared" si="9"/>
        <v>6822.29</v>
      </c>
    </row>
    <row r="109" spans="3:17" ht="23.4" x14ac:dyDescent="0.3">
      <c r="C109" s="12">
        <f t="shared" si="8"/>
        <v>20421</v>
      </c>
      <c r="D109" s="67">
        <f t="shared" si="10"/>
        <v>4386.0453050970136</v>
      </c>
      <c r="E109" s="67">
        <f t="shared" si="11"/>
        <v>1205.1165165043785</v>
      </c>
      <c r="F109" s="67">
        <f t="shared" si="12"/>
        <v>5122.66732685023</v>
      </c>
      <c r="G109" s="67">
        <f t="shared" si="13"/>
        <v>4453.1610170026743</v>
      </c>
      <c r="H109" s="67">
        <f t="shared" si="14"/>
        <v>5254.0098345457045</v>
      </c>
      <c r="I109" s="12">
        <v>20421</v>
      </c>
      <c r="L109" s="67">
        <v>1700.42</v>
      </c>
      <c r="M109" s="68">
        <v>467.21</v>
      </c>
      <c r="N109" s="68">
        <v>1986</v>
      </c>
      <c r="O109" s="68">
        <v>1726.44</v>
      </c>
      <c r="P109" s="68">
        <v>2036.92</v>
      </c>
      <c r="Q109" s="12">
        <f t="shared" si="9"/>
        <v>7916.99</v>
      </c>
    </row>
    <row r="110" spans="3:17" ht="23.4" x14ac:dyDescent="0.3">
      <c r="C110" s="12">
        <f t="shared" si="8"/>
        <v>23713</v>
      </c>
      <c r="D110" s="67">
        <f t="shared" si="10"/>
        <v>5623.1579247060954</v>
      </c>
      <c r="E110" s="67">
        <f t="shared" si="11"/>
        <v>4856.6786857076631</v>
      </c>
      <c r="F110" s="67">
        <f t="shared" si="12"/>
        <v>4405.7171691467329</v>
      </c>
      <c r="G110" s="67">
        <f t="shared" si="13"/>
        <v>4453.3943406114422</v>
      </c>
      <c r="H110" s="67">
        <f t="shared" si="14"/>
        <v>4374.0518798280673</v>
      </c>
      <c r="I110" s="12">
        <v>23713</v>
      </c>
      <c r="L110" s="67">
        <v>941.18</v>
      </c>
      <c r="M110" s="68">
        <v>812.89</v>
      </c>
      <c r="N110" s="68">
        <v>737.41</v>
      </c>
      <c r="O110" s="68">
        <v>745.39</v>
      </c>
      <c r="P110" s="68">
        <v>732.11</v>
      </c>
      <c r="Q110" s="12">
        <f t="shared" si="9"/>
        <v>3968.98</v>
      </c>
    </row>
    <row r="111" spans="3:17" ht="23.4" x14ac:dyDescent="0.3">
      <c r="C111" s="12">
        <f t="shared" si="8"/>
        <v>22318</v>
      </c>
      <c r="D111" s="67">
        <f t="shared" si="10"/>
        <v>4630.8255505241241</v>
      </c>
      <c r="E111" s="67">
        <f t="shared" si="11"/>
        <v>3898.0902972919762</v>
      </c>
      <c r="F111" s="67">
        <f t="shared" si="12"/>
        <v>4566.7128802658508</v>
      </c>
      <c r="G111" s="67">
        <f t="shared" si="13"/>
        <v>4582.02535602847</v>
      </c>
      <c r="H111" s="67">
        <f t="shared" si="14"/>
        <v>4640.3459158895785</v>
      </c>
      <c r="I111" s="12">
        <v>22318</v>
      </c>
      <c r="L111" s="67">
        <v>695.57</v>
      </c>
      <c r="M111" s="68">
        <v>585.51</v>
      </c>
      <c r="N111" s="68">
        <v>685.94</v>
      </c>
      <c r="O111" s="68">
        <v>688.24</v>
      </c>
      <c r="P111" s="68">
        <v>697</v>
      </c>
      <c r="Q111" s="12">
        <f t="shared" si="9"/>
        <v>3352.26</v>
      </c>
    </row>
    <row r="112" spans="3:17" ht="23.4" x14ac:dyDescent="0.3">
      <c r="C112" s="12">
        <f t="shared" si="8"/>
        <v>20064</v>
      </c>
      <c r="D112" s="67">
        <f t="shared" si="10"/>
        <v>4925.1871077280057</v>
      </c>
      <c r="E112" s="67">
        <f t="shared" si="11"/>
        <v>3985.6611675486006</v>
      </c>
      <c r="F112" s="67">
        <f t="shared" si="12"/>
        <v>3931.0428478451572</v>
      </c>
      <c r="G112" s="67">
        <f t="shared" si="13"/>
        <v>3792.8505503834285</v>
      </c>
      <c r="H112" s="67">
        <f t="shared" si="14"/>
        <v>3429.2583264948075</v>
      </c>
      <c r="I112" s="12">
        <v>20064</v>
      </c>
      <c r="L112" s="67">
        <v>867.48</v>
      </c>
      <c r="M112" s="68">
        <v>702</v>
      </c>
      <c r="N112" s="68">
        <f>45+647.38</f>
        <v>692.38</v>
      </c>
      <c r="O112" s="68">
        <v>668.04</v>
      </c>
      <c r="P112" s="68">
        <v>604</v>
      </c>
      <c r="Q112" s="12">
        <f t="shared" si="9"/>
        <v>3533.9</v>
      </c>
    </row>
    <row r="113" spans="3:17" ht="23.4" x14ac:dyDescent="0.3">
      <c r="C113" s="12"/>
      <c r="D113" s="67">
        <v>0</v>
      </c>
      <c r="E113" s="67">
        <v>0</v>
      </c>
      <c r="F113" s="67">
        <v>0</v>
      </c>
      <c r="G113" s="67">
        <v>0</v>
      </c>
      <c r="H113" s="67">
        <v>0</v>
      </c>
      <c r="I113" s="12">
        <v>0</v>
      </c>
      <c r="L113" s="67">
        <v>0</v>
      </c>
      <c r="M113" s="68">
        <v>0</v>
      </c>
      <c r="N113" s="68">
        <v>0</v>
      </c>
      <c r="O113" s="68">
        <v>0</v>
      </c>
      <c r="P113" s="68">
        <v>0</v>
      </c>
      <c r="Q113" s="12">
        <f t="shared" si="9"/>
        <v>0</v>
      </c>
    </row>
    <row r="114" spans="3:17" ht="23.4" x14ac:dyDescent="0.3">
      <c r="C114" s="12">
        <f t="shared" si="8"/>
        <v>28103</v>
      </c>
      <c r="D114" s="67">
        <f t="shared" si="10"/>
        <v>5289.6197009403422</v>
      </c>
      <c r="E114" s="67">
        <f t="shared" si="11"/>
        <v>4859.7001402071546</v>
      </c>
      <c r="F114" s="67">
        <f t="shared" si="12"/>
        <v>7378.4978993395816</v>
      </c>
      <c r="G114" s="67">
        <f t="shared" si="13"/>
        <v>6189.8927158345987</v>
      </c>
      <c r="H114" s="67">
        <f t="shared" si="14"/>
        <v>4385.289543678321</v>
      </c>
      <c r="I114" s="12">
        <v>28103</v>
      </c>
      <c r="L114" s="67">
        <v>769.23</v>
      </c>
      <c r="M114" s="68">
        <v>706.71</v>
      </c>
      <c r="N114" s="68">
        <v>1073</v>
      </c>
      <c r="O114" s="68">
        <v>900.15</v>
      </c>
      <c r="P114" s="68">
        <v>637.72</v>
      </c>
      <c r="Q114" s="12">
        <f t="shared" si="9"/>
        <v>4086.8100000000004</v>
      </c>
    </row>
    <row r="115" spans="3:17" ht="23.4" x14ac:dyDescent="0.3">
      <c r="C115" s="12"/>
      <c r="D115" s="67">
        <v>0</v>
      </c>
      <c r="E115" s="67">
        <v>0</v>
      </c>
      <c r="F115" s="67">
        <v>0</v>
      </c>
      <c r="G115" s="67">
        <v>0</v>
      </c>
      <c r="H115" s="67">
        <v>0</v>
      </c>
      <c r="I115" s="12">
        <v>0</v>
      </c>
      <c r="L115" s="67">
        <v>0</v>
      </c>
      <c r="M115" s="68">
        <v>0</v>
      </c>
      <c r="N115" s="68">
        <v>0</v>
      </c>
      <c r="O115" s="68">
        <v>0</v>
      </c>
      <c r="P115" s="68">
        <v>0</v>
      </c>
      <c r="Q115" s="12">
        <f t="shared" si="9"/>
        <v>0</v>
      </c>
    </row>
    <row r="116" spans="3:17" x14ac:dyDescent="0.3">
      <c r="Q116" s="12">
        <f t="shared" si="9"/>
        <v>0</v>
      </c>
    </row>
    <row r="117" spans="3:17" ht="23.4" x14ac:dyDescent="0.3">
      <c r="C117" s="12">
        <f t="shared" si="8"/>
        <v>1922</v>
      </c>
      <c r="D117">
        <f>(D$169/$I$169)*I117</f>
        <v>373.57730824932651</v>
      </c>
      <c r="E117">
        <f>(E169/$I169)*$I117</f>
        <v>366.85081164408501</v>
      </c>
      <c r="F117">
        <f t="shared" ref="F117:H117" si="15">(F169/$I169)*$I117</f>
        <v>392.21871515559644</v>
      </c>
      <c r="G117">
        <f t="shared" si="15"/>
        <v>376.76269490493331</v>
      </c>
      <c r="H117">
        <f t="shared" si="15"/>
        <v>412.59047004605856</v>
      </c>
      <c r="I117" s="12">
        <v>1922</v>
      </c>
      <c r="O117" s="68">
        <v>85</v>
      </c>
      <c r="P117" s="68">
        <v>105.94</v>
      </c>
      <c r="Q117" s="12">
        <f t="shared" si="9"/>
        <v>190.94</v>
      </c>
    </row>
    <row r="118" spans="3:17" ht="23.4" x14ac:dyDescent="0.3">
      <c r="C118" s="12">
        <f t="shared" si="8"/>
        <v>2030</v>
      </c>
      <c r="D118">
        <f>(D$169/$I$169)*$I118</f>
        <v>394.56916532056857</v>
      </c>
      <c r="E118">
        <f t="shared" ref="D118:H164" si="16">(E$169/$I$169)*$I118</f>
        <v>387.46469700181717</v>
      </c>
      <c r="F118">
        <f t="shared" si="16"/>
        <v>414.25806023197748</v>
      </c>
      <c r="G118">
        <f t="shared" si="16"/>
        <v>397.93354352602216</v>
      </c>
      <c r="H118">
        <f t="shared" si="16"/>
        <v>435.77453391961438</v>
      </c>
      <c r="I118" s="12">
        <v>2030</v>
      </c>
      <c r="O118" s="68">
        <v>65</v>
      </c>
      <c r="P118" s="68">
        <v>59.27</v>
      </c>
      <c r="Q118" s="12">
        <f t="shared" si="9"/>
        <v>124.27000000000001</v>
      </c>
    </row>
    <row r="119" spans="3:17" ht="23.4" x14ac:dyDescent="0.3">
      <c r="C119" s="12">
        <f t="shared" si="8"/>
        <v>1666.9999999999995</v>
      </c>
      <c r="D119">
        <f>(D$169/$I$169)*$I119</f>
        <v>324.0132012755605</v>
      </c>
      <c r="E119">
        <f t="shared" si="16"/>
        <v>318.17913788277298</v>
      </c>
      <c r="F119">
        <f t="shared" si="16"/>
        <v>340.18137261414114</v>
      </c>
      <c r="G119">
        <f t="shared" si="16"/>
        <v>326.77596899402909</v>
      </c>
      <c r="H119">
        <f t="shared" si="16"/>
        <v>357.85031923349618</v>
      </c>
      <c r="I119" s="12">
        <v>1667</v>
      </c>
      <c r="O119" s="68">
        <v>92</v>
      </c>
      <c r="P119" s="68">
        <v>113</v>
      </c>
      <c r="Q119" s="12">
        <f t="shared" si="9"/>
        <v>205</v>
      </c>
    </row>
    <row r="120" spans="3:17" ht="23.4" x14ac:dyDescent="0.3">
      <c r="C120" s="12">
        <f t="shared" si="8"/>
        <v>0</v>
      </c>
      <c r="D120">
        <f t="shared" si="16"/>
        <v>0</v>
      </c>
      <c r="E120">
        <f t="shared" si="16"/>
        <v>0</v>
      </c>
      <c r="F120">
        <f t="shared" si="16"/>
        <v>0</v>
      </c>
      <c r="G120">
        <f t="shared" si="16"/>
        <v>0</v>
      </c>
      <c r="H120">
        <f t="shared" si="16"/>
        <v>0</v>
      </c>
      <c r="I120" s="12">
        <v>0</v>
      </c>
      <c r="O120" s="68" t="s">
        <v>125</v>
      </c>
      <c r="P120" s="68">
        <v>0</v>
      </c>
      <c r="Q120" s="12">
        <f t="shared" si="9"/>
        <v>0</v>
      </c>
    </row>
    <row r="121" spans="3:17" ht="23.4" x14ac:dyDescent="0.3">
      <c r="C121" s="12">
        <f t="shared" si="8"/>
        <v>3588.9999999999995</v>
      </c>
      <c r="D121">
        <f t="shared" si="16"/>
        <v>697.59050952488701</v>
      </c>
      <c r="E121">
        <f t="shared" si="16"/>
        <v>685.02994952685799</v>
      </c>
      <c r="F121">
        <f t="shared" si="16"/>
        <v>732.40008776973752</v>
      </c>
      <c r="G121">
        <f t="shared" si="16"/>
        <v>703.53866389896234</v>
      </c>
      <c r="H121">
        <f t="shared" si="16"/>
        <v>770.44078927955468</v>
      </c>
      <c r="I121" s="12">
        <v>3589</v>
      </c>
      <c r="O121" s="68">
        <v>56.54</v>
      </c>
      <c r="P121" s="68">
        <v>0</v>
      </c>
      <c r="Q121" s="12">
        <f t="shared" si="9"/>
        <v>56.54</v>
      </c>
    </row>
    <row r="122" spans="3:17" ht="23.4" x14ac:dyDescent="0.3">
      <c r="C122" s="12">
        <f t="shared" si="8"/>
        <v>0</v>
      </c>
      <c r="D122">
        <f t="shared" si="16"/>
        <v>0</v>
      </c>
      <c r="E122">
        <f t="shared" si="16"/>
        <v>0</v>
      </c>
      <c r="F122">
        <f t="shared" si="16"/>
        <v>0</v>
      </c>
      <c r="G122">
        <f t="shared" si="16"/>
        <v>0</v>
      </c>
      <c r="H122">
        <f t="shared" si="16"/>
        <v>0</v>
      </c>
      <c r="I122" s="12">
        <v>0</v>
      </c>
      <c r="O122" s="68" t="s">
        <v>125</v>
      </c>
      <c r="P122" s="68">
        <v>0</v>
      </c>
      <c r="Q122" s="12">
        <f t="shared" si="9"/>
        <v>0</v>
      </c>
    </row>
    <row r="123" spans="3:17" ht="23.4" x14ac:dyDescent="0.3">
      <c r="C123" s="12">
        <f t="shared" si="8"/>
        <v>8502.9999999999982</v>
      </c>
      <c r="D123">
        <f t="shared" si="16"/>
        <v>1652.7200062664012</v>
      </c>
      <c r="E123">
        <f t="shared" si="16"/>
        <v>1622.9617333036706</v>
      </c>
      <c r="F123">
        <f t="shared" si="16"/>
        <v>1735.1902887450763</v>
      </c>
      <c r="G123">
        <f t="shared" si="16"/>
        <v>1666.8122761585057</v>
      </c>
      <c r="H123">
        <f t="shared" si="16"/>
        <v>1825.3156955263455</v>
      </c>
      <c r="I123" s="12">
        <v>8503</v>
      </c>
      <c r="O123" s="68">
        <v>86</v>
      </c>
      <c r="P123" s="68">
        <v>90.62</v>
      </c>
      <c r="Q123" s="12">
        <f t="shared" si="9"/>
        <v>176.62</v>
      </c>
    </row>
    <row r="124" spans="3:17" ht="23.4" x14ac:dyDescent="0.3">
      <c r="C124" s="12">
        <f t="shared" si="8"/>
        <v>0</v>
      </c>
      <c r="D124">
        <f t="shared" si="16"/>
        <v>0</v>
      </c>
      <c r="E124">
        <f t="shared" si="16"/>
        <v>0</v>
      </c>
      <c r="F124">
        <f t="shared" si="16"/>
        <v>0</v>
      </c>
      <c r="G124">
        <f t="shared" si="16"/>
        <v>0</v>
      </c>
      <c r="H124">
        <f t="shared" si="16"/>
        <v>0</v>
      </c>
      <c r="I124" s="12">
        <v>0</v>
      </c>
      <c r="O124" s="68"/>
      <c r="P124" s="68">
        <v>0</v>
      </c>
      <c r="Q124" s="12">
        <f t="shared" si="9"/>
        <v>0</v>
      </c>
    </row>
    <row r="125" spans="3:17" ht="23.4" x14ac:dyDescent="0.3">
      <c r="C125" s="12">
        <f t="shared" si="8"/>
        <v>4300</v>
      </c>
      <c r="D125">
        <f t="shared" si="16"/>
        <v>835.78690191056398</v>
      </c>
      <c r="E125">
        <f t="shared" si="16"/>
        <v>820.73802813192799</v>
      </c>
      <c r="F125">
        <f t="shared" si="16"/>
        <v>877.49244285591294</v>
      </c>
      <c r="G125">
        <f t="shared" si="16"/>
        <v>842.91341732113074</v>
      </c>
      <c r="H125">
        <f t="shared" si="16"/>
        <v>923.06920978046401</v>
      </c>
      <c r="I125" s="12">
        <v>4300</v>
      </c>
      <c r="O125" s="68">
        <v>59</v>
      </c>
      <c r="P125" s="68">
        <v>151.11000000000001</v>
      </c>
      <c r="Q125" s="12">
        <f t="shared" si="9"/>
        <v>210.11</v>
      </c>
    </row>
    <row r="126" spans="3:17" ht="23.4" x14ac:dyDescent="0.3">
      <c r="C126" s="12">
        <f t="shared" si="8"/>
        <v>5360</v>
      </c>
      <c r="D126">
        <f t="shared" si="16"/>
        <v>1041.8180916838658</v>
      </c>
      <c r="E126">
        <f t="shared" si="16"/>
        <v>1023.0594955318916</v>
      </c>
      <c r="F126">
        <f t="shared" si="16"/>
        <v>1093.8045334203939</v>
      </c>
      <c r="G126">
        <f t="shared" si="16"/>
        <v>1050.7013760095956</v>
      </c>
      <c r="H126">
        <f t="shared" si="16"/>
        <v>1150.6165033542527</v>
      </c>
      <c r="I126" s="12">
        <v>5360</v>
      </c>
      <c r="O126" s="68">
        <v>54</v>
      </c>
      <c r="P126" s="68">
        <v>0</v>
      </c>
      <c r="Q126" s="12">
        <f t="shared" si="9"/>
        <v>54</v>
      </c>
    </row>
    <row r="127" spans="3:17" ht="23.4" x14ac:dyDescent="0.3">
      <c r="C127" s="12">
        <f t="shared" si="8"/>
        <v>7276.9999999999991</v>
      </c>
      <c r="D127">
        <f t="shared" si="16"/>
        <v>1414.4235546984125</v>
      </c>
      <c r="E127">
        <f t="shared" si="16"/>
        <v>1388.955960631637</v>
      </c>
      <c r="F127">
        <f t="shared" si="16"/>
        <v>1485.0029085261579</v>
      </c>
      <c r="G127">
        <f t="shared" si="16"/>
        <v>1426.483939033923</v>
      </c>
      <c r="H127">
        <f t="shared" si="16"/>
        <v>1562.1336371098689</v>
      </c>
      <c r="I127" s="12">
        <v>7277</v>
      </c>
      <c r="O127" s="68">
        <v>155</v>
      </c>
      <c r="P127" s="68">
        <v>55.85</v>
      </c>
      <c r="Q127" s="12">
        <f t="shared" si="9"/>
        <v>210.85</v>
      </c>
    </row>
    <row r="128" spans="3:17" ht="23.4" x14ac:dyDescent="0.3">
      <c r="C128" s="12">
        <f t="shared" si="8"/>
        <v>8229.9999999999982</v>
      </c>
      <c r="D128">
        <f t="shared" si="16"/>
        <v>1599.6572564474284</v>
      </c>
      <c r="E128">
        <f t="shared" si="16"/>
        <v>1570.8544119827366</v>
      </c>
      <c r="F128">
        <f t="shared" si="16"/>
        <v>1679.479722024224</v>
      </c>
      <c r="G128">
        <f t="shared" si="16"/>
        <v>1613.2970754774201</v>
      </c>
      <c r="H128">
        <f t="shared" si="16"/>
        <v>1766.7115340681903</v>
      </c>
      <c r="I128" s="12">
        <v>8230</v>
      </c>
      <c r="O128" s="68">
        <v>85</v>
      </c>
      <c r="P128" s="68">
        <v>71</v>
      </c>
      <c r="Q128" s="12">
        <f t="shared" si="9"/>
        <v>156</v>
      </c>
    </row>
    <row r="129" spans="3:17" ht="23.4" x14ac:dyDescent="0.3">
      <c r="C129" s="12">
        <f t="shared" si="8"/>
        <v>7818.9999999999982</v>
      </c>
      <c r="D129">
        <f t="shared" si="16"/>
        <v>1519.7715781485349</v>
      </c>
      <c r="E129">
        <f t="shared" si="16"/>
        <v>1492.4071260380335</v>
      </c>
      <c r="F129">
        <f t="shared" si="16"/>
        <v>1595.6077699279961</v>
      </c>
      <c r="G129">
        <f t="shared" si="16"/>
        <v>1532.7302348916096</v>
      </c>
      <c r="H129">
        <f t="shared" si="16"/>
        <v>1678.4832909938252</v>
      </c>
      <c r="I129" s="12">
        <v>7819</v>
      </c>
      <c r="O129" s="68">
        <v>112</v>
      </c>
      <c r="P129" s="68">
        <v>140.65</v>
      </c>
      <c r="Q129" s="12">
        <f t="shared" si="9"/>
        <v>252.65</v>
      </c>
    </row>
    <row r="130" spans="3:17" ht="23.4" x14ac:dyDescent="0.3">
      <c r="C130" s="12">
        <f t="shared" si="8"/>
        <v>8396</v>
      </c>
      <c r="D130">
        <f t="shared" si="16"/>
        <v>1631.9225182421153</v>
      </c>
      <c r="E130">
        <f t="shared" si="16"/>
        <v>1602.5387172548062</v>
      </c>
      <c r="F130">
        <f t="shared" si="16"/>
        <v>1713.3550116786616</v>
      </c>
      <c r="G130">
        <f t="shared" si="16"/>
        <v>1645.8374539135382</v>
      </c>
      <c r="H130">
        <f t="shared" si="16"/>
        <v>1802.346298910878</v>
      </c>
      <c r="I130" s="12">
        <v>8396</v>
      </c>
      <c r="O130" s="68">
        <v>95.71</v>
      </c>
      <c r="P130" s="68">
        <v>0</v>
      </c>
      <c r="Q130" s="12">
        <f t="shared" si="9"/>
        <v>95.71</v>
      </c>
    </row>
    <row r="131" spans="3:17" ht="23.4" x14ac:dyDescent="0.3">
      <c r="C131" s="12">
        <f t="shared" si="8"/>
        <v>8710</v>
      </c>
      <c r="D131">
        <f t="shared" si="16"/>
        <v>1692.9543989862821</v>
      </c>
      <c r="E131">
        <f t="shared" si="16"/>
        <v>1662.4716802393239</v>
      </c>
      <c r="F131">
        <f t="shared" si="16"/>
        <v>1777.4323668081399</v>
      </c>
      <c r="G131">
        <f t="shared" si="16"/>
        <v>1707.3897360155927</v>
      </c>
      <c r="H131">
        <f t="shared" si="16"/>
        <v>1869.7518179506608</v>
      </c>
      <c r="I131" s="12">
        <v>8710</v>
      </c>
      <c r="O131" s="68">
        <v>118</v>
      </c>
      <c r="P131" s="68">
        <v>51.26</v>
      </c>
      <c r="Q131" s="12">
        <f t="shared" si="9"/>
        <v>169.26</v>
      </c>
    </row>
    <row r="132" spans="3:17" ht="23.4" x14ac:dyDescent="0.3">
      <c r="C132" s="12">
        <f t="shared" si="8"/>
        <v>0</v>
      </c>
      <c r="D132">
        <f t="shared" si="16"/>
        <v>0</v>
      </c>
      <c r="E132">
        <f t="shared" si="16"/>
        <v>0</v>
      </c>
      <c r="F132">
        <f t="shared" si="16"/>
        <v>0</v>
      </c>
      <c r="G132">
        <f t="shared" si="16"/>
        <v>0</v>
      </c>
      <c r="H132">
        <f t="shared" si="16"/>
        <v>0</v>
      </c>
      <c r="I132" s="12">
        <v>0</v>
      </c>
      <c r="O132" s="68" t="s">
        <v>125</v>
      </c>
      <c r="P132" s="68">
        <v>0</v>
      </c>
      <c r="Q132" s="12">
        <f t="shared" si="9"/>
        <v>0</v>
      </c>
    </row>
    <row r="133" spans="3:17" ht="23.4" x14ac:dyDescent="0.3">
      <c r="C133" s="12">
        <f t="shared" ref="C133:C163" si="17">SUM(D133:H133)</f>
        <v>9753</v>
      </c>
      <c r="D133">
        <f t="shared" si="16"/>
        <v>1895.6813149613326</v>
      </c>
      <c r="E133">
        <f t="shared" si="16"/>
        <v>1861.5483693885333</v>
      </c>
      <c r="F133">
        <f t="shared" si="16"/>
        <v>1990.2753012031903</v>
      </c>
      <c r="G133">
        <f t="shared" si="16"/>
        <v>1911.8452463099973</v>
      </c>
      <c r="H133">
        <f t="shared" si="16"/>
        <v>2093.6497681369456</v>
      </c>
      <c r="I133" s="12">
        <v>9753</v>
      </c>
      <c r="O133" s="68">
        <v>108</v>
      </c>
      <c r="P133" s="68">
        <v>121.18</v>
      </c>
      <c r="Q133" s="12">
        <f t="shared" ref="Q133:Q160" si="18">SUM(L133:P133)</f>
        <v>229.18</v>
      </c>
    </row>
    <row r="134" spans="3:17" ht="23.4" x14ac:dyDescent="0.3">
      <c r="C134" s="12">
        <f t="shared" si="17"/>
        <v>11455</v>
      </c>
      <c r="D134">
        <f t="shared" si="16"/>
        <v>2226.4974328803514</v>
      </c>
      <c r="E134">
        <f t="shared" si="16"/>
        <v>2186.4079330816826</v>
      </c>
      <c r="F134">
        <f t="shared" si="16"/>
        <v>2337.5990541661586</v>
      </c>
      <c r="G134">
        <f t="shared" si="16"/>
        <v>2245.4821384682682</v>
      </c>
      <c r="H134">
        <f t="shared" si="16"/>
        <v>2459.0134414035383</v>
      </c>
      <c r="I134" s="12">
        <v>11455</v>
      </c>
      <c r="O134" s="68">
        <v>139</v>
      </c>
      <c r="P134" s="68">
        <v>137.58000000000001</v>
      </c>
      <c r="Q134" s="12">
        <f t="shared" si="18"/>
        <v>276.58000000000004</v>
      </c>
    </row>
    <row r="135" spans="3:17" ht="23.4" x14ac:dyDescent="0.3">
      <c r="C135" s="12">
        <f t="shared" si="17"/>
        <v>18100</v>
      </c>
      <c r="D135">
        <f t="shared" si="16"/>
        <v>3518.0797499026066</v>
      </c>
      <c r="E135">
        <f t="shared" si="16"/>
        <v>3454.734490508813</v>
      </c>
      <c r="F135">
        <f t="shared" si="16"/>
        <v>3693.6309803934942</v>
      </c>
      <c r="G135">
        <f t="shared" si="16"/>
        <v>3548.0774077935966</v>
      </c>
      <c r="H135">
        <f t="shared" si="16"/>
        <v>3885.4773714014882</v>
      </c>
      <c r="I135" s="12">
        <v>18100</v>
      </c>
      <c r="O135" s="68">
        <v>127</v>
      </c>
      <c r="P135" s="68">
        <v>42.32</v>
      </c>
      <c r="Q135" s="12">
        <f t="shared" si="18"/>
        <v>169.32</v>
      </c>
    </row>
    <row r="136" spans="3:17" ht="23.4" x14ac:dyDescent="0.3">
      <c r="C136" s="12">
        <f t="shared" si="17"/>
        <v>18037</v>
      </c>
      <c r="D136">
        <f t="shared" si="16"/>
        <v>3505.8344999443821</v>
      </c>
      <c r="E136">
        <f t="shared" si="16"/>
        <v>3442.7097240501357</v>
      </c>
      <c r="F136">
        <f t="shared" si="16"/>
        <v>3680.774695765605</v>
      </c>
      <c r="G136">
        <f t="shared" si="16"/>
        <v>3535.7277460979617</v>
      </c>
      <c r="H136">
        <f t="shared" si="16"/>
        <v>3871.9533341419137</v>
      </c>
      <c r="I136" s="12">
        <v>18037</v>
      </c>
      <c r="O136" s="68">
        <v>241.6</v>
      </c>
      <c r="P136" s="68">
        <v>223.66</v>
      </c>
      <c r="Q136" s="12">
        <f t="shared" si="18"/>
        <v>465.26</v>
      </c>
    </row>
    <row r="137" spans="3:17" ht="23.4" x14ac:dyDescent="0.3">
      <c r="C137" s="12">
        <f t="shared" si="17"/>
        <v>8413.9999999999982</v>
      </c>
      <c r="D137">
        <f t="shared" si="16"/>
        <v>1635.4211610873222</v>
      </c>
      <c r="E137">
        <f t="shared" si="16"/>
        <v>1605.9743648144283</v>
      </c>
      <c r="F137">
        <f t="shared" si="16"/>
        <v>1717.0282358580585</v>
      </c>
      <c r="G137">
        <f t="shared" si="16"/>
        <v>1649.3659286837196</v>
      </c>
      <c r="H137">
        <f t="shared" si="16"/>
        <v>1806.2103095564707</v>
      </c>
      <c r="I137" s="12">
        <v>8414</v>
      </c>
      <c r="O137" s="68" t="s">
        <v>125</v>
      </c>
      <c r="P137" s="68">
        <v>0</v>
      </c>
      <c r="Q137" s="12">
        <f t="shared" si="18"/>
        <v>0</v>
      </c>
    </row>
    <row r="138" spans="3:17" ht="23.4" x14ac:dyDescent="0.3">
      <c r="C138" s="12">
        <f t="shared" si="17"/>
        <v>6291.9999999999991</v>
      </c>
      <c r="D138">
        <f t="shared" si="16"/>
        <v>1222.9700434468066</v>
      </c>
      <c r="E138">
        <f t="shared" si="16"/>
        <v>1200.9496913967653</v>
      </c>
      <c r="F138">
        <f t="shared" si="16"/>
        <v>1283.9959187091638</v>
      </c>
      <c r="G138">
        <f t="shared" si="16"/>
        <v>1233.3979585545476</v>
      </c>
      <c r="H138">
        <f t="shared" si="16"/>
        <v>1350.6863878927161</v>
      </c>
      <c r="I138" s="12">
        <v>6292</v>
      </c>
      <c r="O138" s="68">
        <v>88</v>
      </c>
      <c r="P138" s="68">
        <v>104.75</v>
      </c>
      <c r="Q138" s="12">
        <f t="shared" si="18"/>
        <v>192.75</v>
      </c>
    </row>
    <row r="139" spans="3:17" ht="23.4" x14ac:dyDescent="0.3">
      <c r="C139" s="12">
        <f t="shared" si="17"/>
        <v>15752</v>
      </c>
      <c r="D139">
        <f t="shared" si="16"/>
        <v>3061.7012276500477</v>
      </c>
      <c r="E139">
        <f t="shared" si="16"/>
        <v>3006.5733532870067</v>
      </c>
      <c r="F139">
        <f t="shared" si="16"/>
        <v>3214.4792929921723</v>
      </c>
      <c r="G139">
        <f t="shared" si="16"/>
        <v>3087.8074766610353</v>
      </c>
      <c r="H139">
        <f t="shared" si="16"/>
        <v>3381.4386494097371</v>
      </c>
      <c r="I139" s="12">
        <v>15752</v>
      </c>
      <c r="O139" s="68">
        <v>122</v>
      </c>
      <c r="P139" s="68">
        <v>154.32</v>
      </c>
      <c r="Q139" s="12">
        <f t="shared" si="18"/>
        <v>276.32</v>
      </c>
    </row>
    <row r="140" spans="3:17" ht="23.4" x14ac:dyDescent="0.3">
      <c r="C140" s="12">
        <f t="shared" si="17"/>
        <v>9858</v>
      </c>
      <c r="D140">
        <f t="shared" si="16"/>
        <v>1916.090064891707</v>
      </c>
      <c r="E140">
        <f t="shared" si="16"/>
        <v>1881.5896468196618</v>
      </c>
      <c r="F140">
        <f t="shared" si="16"/>
        <v>2011.702442249672</v>
      </c>
      <c r="G140">
        <f t="shared" si="16"/>
        <v>1932.4280158027225</v>
      </c>
      <c r="H140">
        <f t="shared" si="16"/>
        <v>2116.189830236236</v>
      </c>
      <c r="I140" s="12">
        <v>9858</v>
      </c>
      <c r="O140" s="68" t="s">
        <v>125</v>
      </c>
      <c r="P140" s="68">
        <v>321</v>
      </c>
      <c r="Q140" s="12">
        <f t="shared" si="18"/>
        <v>321</v>
      </c>
    </row>
    <row r="141" spans="3:17" ht="23.4" x14ac:dyDescent="0.3">
      <c r="C141" s="12">
        <f t="shared" si="17"/>
        <v>10782</v>
      </c>
      <c r="D141">
        <f t="shared" si="16"/>
        <v>2095.6870642790004</v>
      </c>
      <c r="E141">
        <f t="shared" si="16"/>
        <v>2057.9528882135924</v>
      </c>
      <c r="F141">
        <f t="shared" si="16"/>
        <v>2200.2612834587103</v>
      </c>
      <c r="G141">
        <f t="shared" si="16"/>
        <v>2113.556387338705</v>
      </c>
      <c r="H141">
        <f t="shared" si="16"/>
        <v>2314.5423767099915</v>
      </c>
      <c r="I141" s="12">
        <v>10782</v>
      </c>
      <c r="O141" s="68">
        <v>102.08</v>
      </c>
      <c r="P141" s="68">
        <v>103.93</v>
      </c>
      <c r="Q141" s="12">
        <f t="shared" si="18"/>
        <v>206.01</v>
      </c>
    </row>
    <row r="142" spans="3:17" ht="23.4" x14ac:dyDescent="0.3">
      <c r="C142" s="12">
        <f t="shared" si="17"/>
        <v>7802</v>
      </c>
      <c r="D142">
        <f t="shared" si="16"/>
        <v>1516.4673043502837</v>
      </c>
      <c r="E142">
        <f t="shared" si="16"/>
        <v>1489.1623477872795</v>
      </c>
      <c r="F142">
        <f t="shared" si="16"/>
        <v>1592.1386137585657</v>
      </c>
      <c r="G142">
        <f t="shared" si="16"/>
        <v>1529.3977864975493</v>
      </c>
      <c r="H142">
        <f t="shared" si="16"/>
        <v>1674.8339476063209</v>
      </c>
      <c r="I142" s="12">
        <v>7802</v>
      </c>
      <c r="O142" s="68">
        <v>30</v>
      </c>
      <c r="P142" s="68">
        <v>84</v>
      </c>
      <c r="Q142" s="12">
        <f t="shared" si="18"/>
        <v>114</v>
      </c>
    </row>
    <row r="143" spans="3:17" ht="23.4" x14ac:dyDescent="0.3">
      <c r="C143" s="12">
        <f t="shared" si="17"/>
        <v>17372</v>
      </c>
      <c r="D143">
        <f t="shared" si="16"/>
        <v>3376.5790837186787</v>
      </c>
      <c r="E143">
        <f t="shared" si="16"/>
        <v>3315.7816336529891</v>
      </c>
      <c r="F143">
        <f t="shared" si="16"/>
        <v>3545.0694691378881</v>
      </c>
      <c r="G143">
        <f t="shared" si="16"/>
        <v>3405.3702059773682</v>
      </c>
      <c r="H143">
        <f t="shared" si="16"/>
        <v>3729.1996075130746</v>
      </c>
      <c r="I143" s="12">
        <v>17372</v>
      </c>
      <c r="O143" s="70">
        <v>294.25</v>
      </c>
      <c r="P143" s="68">
        <v>252.99</v>
      </c>
      <c r="Q143" s="12">
        <f t="shared" si="18"/>
        <v>547.24</v>
      </c>
    </row>
    <row r="144" spans="3:17" ht="23.4" x14ac:dyDescent="0.3">
      <c r="C144" s="12">
        <f t="shared" si="17"/>
        <v>3737.9999999999995</v>
      </c>
      <c r="D144">
        <f t="shared" si="16"/>
        <v>726.55149752132286</v>
      </c>
      <c r="E144">
        <f t="shared" si="16"/>
        <v>713.46947654817359</v>
      </c>
      <c r="F144">
        <f t="shared" si="16"/>
        <v>762.80622125474474</v>
      </c>
      <c r="G144">
        <f t="shared" si="16"/>
        <v>732.74659394102014</v>
      </c>
      <c r="H144">
        <f t="shared" si="16"/>
        <v>802.42621073473822</v>
      </c>
      <c r="I144" s="12">
        <v>3738</v>
      </c>
      <c r="O144" s="68">
        <v>62</v>
      </c>
      <c r="P144" s="68">
        <v>61</v>
      </c>
      <c r="Q144" s="12">
        <f t="shared" si="18"/>
        <v>123</v>
      </c>
    </row>
    <row r="145" spans="3:17" ht="23.4" x14ac:dyDescent="0.3">
      <c r="C145" s="12">
        <f t="shared" si="17"/>
        <v>0</v>
      </c>
      <c r="D145">
        <f t="shared" si="16"/>
        <v>0</v>
      </c>
      <c r="E145">
        <f t="shared" si="16"/>
        <v>0</v>
      </c>
      <c r="F145">
        <f t="shared" si="16"/>
        <v>0</v>
      </c>
      <c r="G145">
        <f t="shared" si="16"/>
        <v>0</v>
      </c>
      <c r="H145">
        <f t="shared" si="16"/>
        <v>0</v>
      </c>
      <c r="I145" s="12">
        <v>0</v>
      </c>
      <c r="O145" s="68"/>
      <c r="P145" s="68">
        <v>0</v>
      </c>
      <c r="Q145" s="12">
        <f t="shared" si="18"/>
        <v>0</v>
      </c>
    </row>
    <row r="146" spans="3:17" ht="23.4" x14ac:dyDescent="0.3">
      <c r="C146" s="12">
        <f t="shared" si="17"/>
        <v>1156.9999999999998</v>
      </c>
      <c r="D146">
        <f t="shared" si="16"/>
        <v>224.8849873280285</v>
      </c>
      <c r="E146">
        <f t="shared" si="16"/>
        <v>220.83579036014899</v>
      </c>
      <c r="F146">
        <f t="shared" si="16"/>
        <v>236.10668753123053</v>
      </c>
      <c r="G146">
        <f t="shared" si="16"/>
        <v>226.80251717222052</v>
      </c>
      <c r="H146">
        <f t="shared" si="16"/>
        <v>248.37001760837137</v>
      </c>
      <c r="I146" s="12">
        <v>1157</v>
      </c>
      <c r="O146" s="68">
        <v>73</v>
      </c>
      <c r="P146" s="68">
        <v>0</v>
      </c>
      <c r="Q146" s="12">
        <f t="shared" si="18"/>
        <v>73</v>
      </c>
    </row>
    <row r="147" spans="3:17" ht="23.4" x14ac:dyDescent="0.3">
      <c r="C147" s="12">
        <f t="shared" si="17"/>
        <v>6178</v>
      </c>
      <c r="D147">
        <f t="shared" si="16"/>
        <v>1200.8119720938289</v>
      </c>
      <c r="E147">
        <f t="shared" si="16"/>
        <v>1179.1905901858258</v>
      </c>
      <c r="F147">
        <f t="shared" si="16"/>
        <v>1260.7321655729838</v>
      </c>
      <c r="G147">
        <f t="shared" si="16"/>
        <v>1211.0509516767315</v>
      </c>
      <c r="H147">
        <f t="shared" si="16"/>
        <v>1326.2143204706294</v>
      </c>
      <c r="I147" s="12">
        <v>6178</v>
      </c>
      <c r="O147" s="68">
        <v>159</v>
      </c>
      <c r="P147" s="68">
        <v>130</v>
      </c>
      <c r="Q147" s="12">
        <f t="shared" si="18"/>
        <v>289</v>
      </c>
    </row>
    <row r="148" spans="3:17" ht="23.4" x14ac:dyDescent="0.3">
      <c r="C148" s="12">
        <f t="shared" si="17"/>
        <v>14324.999999999998</v>
      </c>
      <c r="D148">
        <f t="shared" si="16"/>
        <v>2784.336597643914</v>
      </c>
      <c r="E148">
        <f t="shared" si="16"/>
        <v>2734.2028495325276</v>
      </c>
      <c r="F148">
        <f t="shared" si="16"/>
        <v>2923.2742427699891</v>
      </c>
      <c r="G148">
        <f t="shared" si="16"/>
        <v>2808.0778379360927</v>
      </c>
      <c r="H148">
        <f t="shared" si="16"/>
        <v>3075.1084721174761</v>
      </c>
      <c r="I148" s="12">
        <v>14325</v>
      </c>
      <c r="O148" s="68">
        <v>266</v>
      </c>
      <c r="P148" s="68">
        <v>334.98</v>
      </c>
      <c r="Q148" s="12">
        <f t="shared" si="18"/>
        <v>600.98</v>
      </c>
    </row>
    <row r="149" spans="3:17" ht="23.4" x14ac:dyDescent="0.3">
      <c r="C149" s="12">
        <f t="shared" si="17"/>
        <v>21853</v>
      </c>
      <c r="D149">
        <f t="shared" si="16"/>
        <v>4247.5467831282685</v>
      </c>
      <c r="E149">
        <f t="shared" si="16"/>
        <v>4171.0670066900047</v>
      </c>
      <c r="F149">
        <f t="shared" si="16"/>
        <v>4459.4982217977358</v>
      </c>
      <c r="G149">
        <f t="shared" si="16"/>
        <v>4283.7643973764352</v>
      </c>
      <c r="H149">
        <f t="shared" si="16"/>
        <v>4691.1235910075538</v>
      </c>
      <c r="I149" s="12">
        <v>21853</v>
      </c>
      <c r="O149" s="68">
        <v>435.03</v>
      </c>
      <c r="P149" s="68">
        <v>625.51</v>
      </c>
      <c r="Q149" s="12">
        <f t="shared" si="18"/>
        <v>1060.54</v>
      </c>
    </row>
    <row r="150" spans="3:17" ht="23.4" x14ac:dyDescent="0.3">
      <c r="C150" s="12">
        <f t="shared" si="17"/>
        <v>4172.9999999999991</v>
      </c>
      <c r="D150">
        <f t="shared" si="16"/>
        <v>811.10203294715893</v>
      </c>
      <c r="E150">
        <f t="shared" si="16"/>
        <v>796.49762590570583</v>
      </c>
      <c r="F150">
        <f t="shared" si="16"/>
        <v>851.57580559016856</v>
      </c>
      <c r="G150">
        <f t="shared" si="16"/>
        <v>818.01806755373923</v>
      </c>
      <c r="H150">
        <f t="shared" si="16"/>
        <v>895.806468003227</v>
      </c>
      <c r="I150" s="12">
        <v>4173</v>
      </c>
      <c r="O150" s="71">
        <v>74</v>
      </c>
      <c r="P150" s="68">
        <v>71.209999999999994</v>
      </c>
      <c r="Q150" s="12">
        <f t="shared" si="18"/>
        <v>145.20999999999998</v>
      </c>
    </row>
    <row r="151" spans="3:17" ht="23.4" x14ac:dyDescent="0.3">
      <c r="C151" s="12">
        <f t="shared" si="17"/>
        <v>6935.9999999999982</v>
      </c>
      <c r="D151">
        <f t="shared" si="16"/>
        <v>1348.1437096864354</v>
      </c>
      <c r="E151">
        <f t="shared" si="16"/>
        <v>1323.8695263076866</v>
      </c>
      <c r="F151">
        <f t="shared" si="16"/>
        <v>1415.4157171275842</v>
      </c>
      <c r="G151">
        <f t="shared" si="16"/>
        <v>1359.638944776596</v>
      </c>
      <c r="H151">
        <f t="shared" si="16"/>
        <v>1488.9321021016972</v>
      </c>
      <c r="I151" s="12">
        <v>6936</v>
      </c>
      <c r="O151" s="71">
        <v>135</v>
      </c>
      <c r="P151" s="68">
        <v>68.680000000000007</v>
      </c>
      <c r="Q151" s="12">
        <f t="shared" si="18"/>
        <v>203.68</v>
      </c>
    </row>
    <row r="152" spans="3:17" ht="23.4" x14ac:dyDescent="0.3">
      <c r="C152" s="12">
        <f t="shared" si="17"/>
        <v>5485</v>
      </c>
      <c r="D152">
        <f t="shared" si="16"/>
        <v>1066.114222553359</v>
      </c>
      <c r="E152">
        <f t="shared" si="16"/>
        <v>1046.9181591403778</v>
      </c>
      <c r="F152">
        <f t="shared" si="16"/>
        <v>1119.3130346662053</v>
      </c>
      <c r="G152">
        <f t="shared" si="16"/>
        <v>1075.2046730247446</v>
      </c>
      <c r="H152">
        <f t="shared" si="16"/>
        <v>1177.4499106153128</v>
      </c>
      <c r="I152" s="12">
        <v>5485</v>
      </c>
      <c r="O152" s="71">
        <v>144</v>
      </c>
      <c r="P152" s="68">
        <v>116.44</v>
      </c>
      <c r="Q152" s="12">
        <f t="shared" si="18"/>
        <v>260.44</v>
      </c>
    </row>
    <row r="153" spans="3:17" ht="23.4" x14ac:dyDescent="0.3">
      <c r="C153" s="12">
        <f t="shared" si="17"/>
        <v>6818</v>
      </c>
      <c r="D153">
        <f t="shared" si="16"/>
        <v>1325.2081621456339</v>
      </c>
      <c r="E153">
        <f t="shared" si="16"/>
        <v>1301.3469478612756</v>
      </c>
      <c r="F153">
        <f t="shared" si="16"/>
        <v>1391.3356919515381</v>
      </c>
      <c r="G153">
        <f t="shared" si="16"/>
        <v>1336.5078323942953</v>
      </c>
      <c r="H153">
        <f t="shared" si="16"/>
        <v>1463.6013656472567</v>
      </c>
      <c r="I153" s="12">
        <v>6818</v>
      </c>
      <c r="O153" s="71"/>
      <c r="P153" s="68">
        <v>167</v>
      </c>
      <c r="Q153" s="12">
        <f t="shared" si="18"/>
        <v>167</v>
      </c>
    </row>
    <row r="154" spans="3:17" ht="23.4" x14ac:dyDescent="0.3">
      <c r="C154" s="12">
        <f t="shared" si="17"/>
        <v>8950</v>
      </c>
      <c r="D154">
        <f t="shared" si="16"/>
        <v>1739.6029702557089</v>
      </c>
      <c r="E154">
        <f t="shared" si="16"/>
        <v>1708.2803143676174</v>
      </c>
      <c r="F154">
        <f t="shared" si="16"/>
        <v>1826.4086892000978</v>
      </c>
      <c r="G154">
        <f t="shared" si="16"/>
        <v>1754.4360662846791</v>
      </c>
      <c r="H154">
        <f t="shared" si="16"/>
        <v>1921.2719598918959</v>
      </c>
      <c r="I154" s="12">
        <v>8950</v>
      </c>
      <c r="O154" s="71">
        <v>173</v>
      </c>
      <c r="P154" s="68">
        <v>129.38</v>
      </c>
      <c r="Q154" s="12">
        <f t="shared" si="18"/>
        <v>302.38</v>
      </c>
    </row>
    <row r="155" spans="3:17" ht="23.4" x14ac:dyDescent="0.3">
      <c r="C155" s="12">
        <f t="shared" si="17"/>
        <v>11954.999999999998</v>
      </c>
      <c r="D155">
        <f t="shared" si="16"/>
        <v>2323.681956358324</v>
      </c>
      <c r="E155">
        <f t="shared" si="16"/>
        <v>2281.8425875156277</v>
      </c>
      <c r="F155">
        <f t="shared" si="16"/>
        <v>2439.6330591494043</v>
      </c>
      <c r="G155">
        <f t="shared" si="16"/>
        <v>2343.4953265288646</v>
      </c>
      <c r="H155">
        <f t="shared" si="16"/>
        <v>2566.3470704477786</v>
      </c>
      <c r="I155" s="12">
        <v>11955</v>
      </c>
      <c r="O155" s="71">
        <v>138</v>
      </c>
      <c r="P155" s="68">
        <v>198.71</v>
      </c>
      <c r="Q155" s="12">
        <f t="shared" si="18"/>
        <v>336.71000000000004</v>
      </c>
    </row>
    <row r="156" spans="3:17" ht="23.4" x14ac:dyDescent="0.3">
      <c r="C156" s="12">
        <f t="shared" si="17"/>
        <v>4917</v>
      </c>
      <c r="D156">
        <f t="shared" si="16"/>
        <v>955.71260388238215</v>
      </c>
      <c r="E156">
        <f t="shared" si="16"/>
        <v>938.50439170341622</v>
      </c>
      <c r="F156">
        <f t="shared" si="16"/>
        <v>1003.4024050052382</v>
      </c>
      <c r="G156">
        <f t="shared" si="16"/>
        <v>963.86169138790694</v>
      </c>
      <c r="H156">
        <f t="shared" si="16"/>
        <v>1055.5189080210562</v>
      </c>
      <c r="I156" s="12">
        <v>4917</v>
      </c>
      <c r="O156" s="71">
        <v>73</v>
      </c>
      <c r="P156" s="68">
        <v>74.11</v>
      </c>
      <c r="Q156" s="12">
        <f t="shared" si="18"/>
        <v>147.11000000000001</v>
      </c>
    </row>
    <row r="157" spans="3:17" ht="23.4" x14ac:dyDescent="0.3">
      <c r="C157" s="12">
        <f t="shared" si="17"/>
        <v>10172.999999999998</v>
      </c>
      <c r="D157">
        <f t="shared" si="16"/>
        <v>1977.3163146828297</v>
      </c>
      <c r="E157">
        <f t="shared" si="16"/>
        <v>1941.7134791130472</v>
      </c>
      <c r="F157">
        <f t="shared" si="16"/>
        <v>2075.983865389117</v>
      </c>
      <c r="G157">
        <f t="shared" si="16"/>
        <v>1994.1763242808984</v>
      </c>
      <c r="H157">
        <f t="shared" si="16"/>
        <v>2183.810016534107</v>
      </c>
      <c r="I157" s="12">
        <v>10173</v>
      </c>
      <c r="O157" s="70">
        <v>176</v>
      </c>
      <c r="P157" s="68">
        <v>158.26</v>
      </c>
      <c r="Q157" s="12">
        <f t="shared" si="18"/>
        <v>334.26</v>
      </c>
    </row>
    <row r="158" spans="3:17" ht="23.4" x14ac:dyDescent="0.3">
      <c r="C158" s="12">
        <f t="shared" si="17"/>
        <v>8773</v>
      </c>
      <c r="D158">
        <f t="shared" si="16"/>
        <v>1705.1996489445066</v>
      </c>
      <c r="E158">
        <f t="shared" si="16"/>
        <v>1674.4964466980009</v>
      </c>
      <c r="F158">
        <f t="shared" si="16"/>
        <v>1790.2886514360289</v>
      </c>
      <c r="G158">
        <f t="shared" si="16"/>
        <v>1719.7393977112279</v>
      </c>
      <c r="H158">
        <f t="shared" si="16"/>
        <v>1883.275855210235</v>
      </c>
      <c r="I158" s="12">
        <v>8773</v>
      </c>
      <c r="O158" s="70">
        <v>183</v>
      </c>
      <c r="P158" s="68">
        <v>153.01</v>
      </c>
      <c r="Q158" s="12">
        <f t="shared" si="18"/>
        <v>336.01</v>
      </c>
    </row>
    <row r="159" spans="3:17" ht="23.4" x14ac:dyDescent="0.3">
      <c r="C159" s="12">
        <f t="shared" si="17"/>
        <v>1666.9999999999995</v>
      </c>
      <c r="D159">
        <f t="shared" si="16"/>
        <v>324.0132012755605</v>
      </c>
      <c r="E159">
        <f t="shared" si="16"/>
        <v>318.17913788277298</v>
      </c>
      <c r="F159">
        <f t="shared" si="16"/>
        <v>340.18137261414114</v>
      </c>
      <c r="G159">
        <f t="shared" si="16"/>
        <v>326.77596899402909</v>
      </c>
      <c r="H159">
        <f t="shared" si="16"/>
        <v>357.85031923349618</v>
      </c>
      <c r="I159" s="12">
        <v>1667</v>
      </c>
      <c r="O159" s="70"/>
      <c r="P159" s="68"/>
      <c r="Q159" s="12">
        <f t="shared" si="18"/>
        <v>0</v>
      </c>
    </row>
    <row r="160" spans="3:17" ht="23.4" x14ac:dyDescent="0.3">
      <c r="C160" s="12">
        <f t="shared" si="17"/>
        <v>2786</v>
      </c>
      <c r="D160">
        <f t="shared" si="16"/>
        <v>541.51216481926315</v>
      </c>
      <c r="E160">
        <f t="shared" si="16"/>
        <v>531.76189450594211</v>
      </c>
      <c r="F160">
        <f t="shared" si="16"/>
        <v>568.53347576664498</v>
      </c>
      <c r="G160">
        <f t="shared" si="16"/>
        <v>546.12948387364429</v>
      </c>
      <c r="H160">
        <f t="shared" si="16"/>
        <v>598.06298103450524</v>
      </c>
      <c r="I160" s="12">
        <v>2786</v>
      </c>
      <c r="O160" s="70"/>
      <c r="P160" s="68"/>
      <c r="Q160" s="12">
        <f t="shared" si="18"/>
        <v>0</v>
      </c>
    </row>
    <row r="161" spans="2:17" ht="23.4" x14ac:dyDescent="0.3">
      <c r="C161" s="12">
        <f t="shared" si="17"/>
        <v>8345</v>
      </c>
      <c r="D161">
        <f t="shared" si="16"/>
        <v>1622.009696847362</v>
      </c>
      <c r="E161">
        <f t="shared" si="16"/>
        <v>1592.8043825025438</v>
      </c>
      <c r="F161">
        <f t="shared" si="16"/>
        <v>1702.9475431703706</v>
      </c>
      <c r="G161">
        <f t="shared" si="16"/>
        <v>1635.8401087313573</v>
      </c>
      <c r="H161">
        <f t="shared" si="16"/>
        <v>1791.3982687483656</v>
      </c>
      <c r="I161" s="12">
        <v>8345</v>
      </c>
      <c r="O161" s="72"/>
      <c r="P161" s="72">
        <v>186.67</v>
      </c>
      <c r="Q161" s="12">
        <f>SUM(L161:P161)</f>
        <v>186.67</v>
      </c>
    </row>
    <row r="162" spans="2:17" ht="23.4" x14ac:dyDescent="0.3">
      <c r="C162" s="12">
        <f t="shared" si="17"/>
        <v>0</v>
      </c>
      <c r="D162">
        <f t="shared" si="16"/>
        <v>0</v>
      </c>
      <c r="E162">
        <f t="shared" si="16"/>
        <v>0</v>
      </c>
      <c r="F162">
        <f t="shared" si="16"/>
        <v>0</v>
      </c>
      <c r="G162">
        <f t="shared" si="16"/>
        <v>0</v>
      </c>
      <c r="H162">
        <f t="shared" si="16"/>
        <v>0</v>
      </c>
      <c r="I162" s="12">
        <v>0</v>
      </c>
      <c r="O162" s="73"/>
      <c r="P162" s="72">
        <v>0</v>
      </c>
      <c r="Q162" s="12">
        <f t="shared" ref="Q162:Q163" si="19">SUM(L162:P162)</f>
        <v>0</v>
      </c>
    </row>
    <row r="163" spans="2:17" ht="23.4" x14ac:dyDescent="0.3">
      <c r="C163" s="12">
        <f t="shared" si="17"/>
        <v>10370</v>
      </c>
      <c r="D163">
        <f t="shared" si="16"/>
        <v>2015.6070169331508</v>
      </c>
      <c r="E163">
        <f t="shared" si="16"/>
        <v>1979.3147329600215</v>
      </c>
      <c r="F163">
        <f t="shared" si="16"/>
        <v>2116.1852633525154</v>
      </c>
      <c r="G163">
        <f t="shared" si="16"/>
        <v>2032.7935203767734</v>
      </c>
      <c r="H163">
        <f t="shared" si="16"/>
        <v>2226.0994663775377</v>
      </c>
      <c r="I163" s="12">
        <v>10370</v>
      </c>
      <c r="O163" s="73">
        <v>201.08</v>
      </c>
      <c r="P163" s="72">
        <v>178.63</v>
      </c>
      <c r="Q163" s="12">
        <f t="shared" si="19"/>
        <v>379.71000000000004</v>
      </c>
    </row>
    <row r="164" spans="2:17" x14ac:dyDescent="0.3">
      <c r="D164">
        <f t="shared" si="16"/>
        <v>0</v>
      </c>
      <c r="E164">
        <f t="shared" si="16"/>
        <v>0</v>
      </c>
      <c r="F164">
        <f t="shared" si="16"/>
        <v>0</v>
      </c>
      <c r="G164">
        <f t="shared" si="16"/>
        <v>0</v>
      </c>
      <c r="H164">
        <f t="shared" si="16"/>
        <v>0</v>
      </c>
    </row>
    <row r="166" spans="2:17" x14ac:dyDescent="0.3">
      <c r="C166" t="s">
        <v>128</v>
      </c>
      <c r="D166" s="12">
        <f>SUM(D4:D163)</f>
        <v>466082.00818374072</v>
      </c>
      <c r="E166" s="12">
        <f t="shared" ref="E166:H166" si="20">SUM(E4:E163)</f>
        <v>457689.90572841815</v>
      </c>
      <c r="F166" s="12">
        <f t="shared" si="20"/>
        <v>489339.3746628791</v>
      </c>
      <c r="G166" s="12">
        <f t="shared" si="20"/>
        <v>470056.15590765997</v>
      </c>
      <c r="H166" s="12">
        <f t="shared" si="20"/>
        <v>514755.55551730242</v>
      </c>
      <c r="I166" s="12">
        <f>SUM(D166:H166)</f>
        <v>2397923.0000000005</v>
      </c>
    </row>
    <row r="169" spans="2:17" x14ac:dyDescent="0.3">
      <c r="B169" t="s">
        <v>129</v>
      </c>
      <c r="D169" s="12">
        <f>SUM(D4:D115)</f>
        <v>399992.83920682734</v>
      </c>
      <c r="E169" s="12">
        <f>SUM(E4:E115)</f>
        <v>392790.71419646678</v>
      </c>
      <c r="F169" s="12">
        <f>SUM(F4:F115)</f>
        <v>419952.37398208253</v>
      </c>
      <c r="G169" s="12">
        <f>SUM(G4:G115)</f>
        <v>403403.46352530801</v>
      </c>
      <c r="H169" s="12">
        <f>SUM(H4:H115)</f>
        <v>441764.6090893154</v>
      </c>
      <c r="I169" s="12">
        <f>SUM(D169:H169)</f>
        <v>2057904.0000000002</v>
      </c>
    </row>
  </sheetData>
  <mergeCells count="2">
    <mergeCell ref="L1:Q2"/>
    <mergeCell ref="D1:I2"/>
  </mergeCells>
  <phoneticPr fontId="34" type="noConversion"/>
  <conditionalFormatting sqref="D4:H115">
    <cfRule type="containsText" dxfId="3" priority="1" operator="containsText" text="LOCATION">
      <formula>NOT(ISERROR(SEARCH(("LOCATION"),(D4))))</formula>
    </cfRule>
  </conditionalFormatting>
  <conditionalFormatting sqref="L4:P115">
    <cfRule type="containsText" dxfId="2" priority="7" operator="containsText" text="LOCATION">
      <formula>NOT(ISERROR(SEARCH(("LOCATION"),(L4))))</formula>
    </cfRule>
  </conditionalFormatting>
  <conditionalFormatting sqref="O161">
    <cfRule type="containsText" dxfId="1" priority="10" operator="containsText" text="LOCATION">
      <formula>NOT(ISERROR(SEARCH(("LOCATION"),(O161))))</formula>
    </cfRule>
  </conditionalFormatting>
  <conditionalFormatting sqref="O117:P142 P143:P144 O144 O145:P149 P150:P163">
    <cfRule type="containsText" dxfId="0" priority="9" operator="containsText" text="LOCATION">
      <formula>NOT(ISERROR(SEARCH(("LOCATION"),(O117))))</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total</vt:lpstr>
      <vt:lpstr>Parc Global 23-24 </vt:lpstr>
      <vt:lpstr>Parc global 22-23</vt:lpstr>
      <vt:lpstr>Nettoyage</vt:lpstr>
      <vt:lpstr>Modèle</vt:lpstr>
      <vt:lpstr>Kilométrages</vt:lpstr>
      <vt:lpstr>Brouillon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mathis babinot</dc:creator>
  <cp:lastModifiedBy>mathis babinot</cp:lastModifiedBy>
  <dcterms:created xsi:type="dcterms:W3CDTF">2025-07-11T05:33:32Z</dcterms:created>
  <dcterms:modified xsi:type="dcterms:W3CDTF">2025-07-21T06:14:26Z</dcterms:modified>
</cp:coreProperties>
</file>