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O:\FHP Occitanie\11 Service\2. Doss individuels de travail\Mathis\SMR\"/>
    </mc:Choice>
  </mc:AlternateContent>
  <xr:revisionPtr revIDLastSave="0" documentId="13_ncr:1_{7C570C75-C686-4646-87CF-2B6A446593A2}" xr6:coauthVersionLast="47" xr6:coauthVersionMax="47" xr10:uidLastSave="{00000000-0000-0000-0000-000000000000}"/>
  <bookViews>
    <workbookView xWindow="-120" yWindow="-120" windowWidth="29040" windowHeight="15720" activeTab="2" xr2:uid="{7D4BC86A-D5E6-46C1-88C7-A7B532151633}"/>
  </bookViews>
  <sheets>
    <sheet name="lisez-moi" sheetId="11" r:id="rId1"/>
    <sheet name="synthèse v2" sheetId="6" r:id="rId2"/>
    <sheet name="basev2" sheetId="4" r:id="rId3"/>
    <sheet name="enfants" sheetId="2" r:id="rId4"/>
    <sheet name="sans dotpédia" sheetId="5" r:id="rId5"/>
    <sheet name="SAE23" sheetId="7" r:id="rId6"/>
    <sheet name="dotpop24" sheetId="8" r:id="rId7"/>
    <sheet name="controle" sheetId="10" r:id="rId8"/>
  </sheets>
  <definedNames>
    <definedName name="_xlnm._FilterDatabase" localSheetId="2" hidden="1">basev2!$A$4:$AW$177</definedName>
    <definedName name="_xlnm._FilterDatabase" localSheetId="7" hidden="1">controle!$A$10:$U$177</definedName>
    <definedName name="_xlnm._FilterDatabase" localSheetId="6" hidden="1">dotpop24!$A$9:$N$182</definedName>
    <definedName name="_xlnm._FilterDatabase" localSheetId="5" hidden="1">'SAE23'!$A$2:$V$181</definedName>
    <definedName name="IDX" localSheetId="7">controle!$A$6</definedName>
    <definedName name="_xlnm.Print_Area" localSheetId="1">'synthèse v2'!$A$1:$O$66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5" i="4" l="1"/>
  <c r="AT6" i="4"/>
  <c r="AT7" i="4"/>
  <c r="AT8" i="4"/>
  <c r="AT9" i="4"/>
  <c r="AU9" i="4" s="1"/>
  <c r="AV9" i="4" s="1"/>
  <c r="AT10" i="4"/>
  <c r="AT11" i="4"/>
  <c r="AT12" i="4"/>
  <c r="AT13" i="4"/>
  <c r="AU13" i="4" s="1"/>
  <c r="AV13" i="4" s="1"/>
  <c r="AT14" i="4"/>
  <c r="AT15" i="4"/>
  <c r="AT16" i="4"/>
  <c r="AT17" i="4"/>
  <c r="AT18" i="4"/>
  <c r="AT19" i="4"/>
  <c r="AT20" i="4"/>
  <c r="AU20" i="4" s="1"/>
  <c r="AV20" i="4" s="1"/>
  <c r="AT21" i="4"/>
  <c r="AU21" i="4" s="1"/>
  <c r="AV21" i="4" s="1"/>
  <c r="AT22" i="4"/>
  <c r="AT23" i="4"/>
  <c r="AT24" i="4"/>
  <c r="AT25" i="4"/>
  <c r="AU25" i="4" s="1"/>
  <c r="AV25" i="4" s="1"/>
  <c r="AT26" i="4"/>
  <c r="AT27" i="4"/>
  <c r="AT28" i="4"/>
  <c r="AT29" i="4"/>
  <c r="AU29" i="4" s="1"/>
  <c r="AV29" i="4" s="1"/>
  <c r="AT30" i="4"/>
  <c r="AT31" i="4"/>
  <c r="AT32" i="4"/>
  <c r="AU32" i="4" s="1"/>
  <c r="AV32" i="4" s="1"/>
  <c r="AT33" i="4"/>
  <c r="AU33" i="4" s="1"/>
  <c r="AV33" i="4" s="1"/>
  <c r="AT34" i="4"/>
  <c r="AT35" i="4"/>
  <c r="AT36" i="4"/>
  <c r="AU36" i="4" s="1"/>
  <c r="AV36" i="4" s="1"/>
  <c r="AT37" i="4"/>
  <c r="AU37" i="4" s="1"/>
  <c r="AV37" i="4" s="1"/>
  <c r="AT38" i="4"/>
  <c r="AT39" i="4"/>
  <c r="AT40" i="4"/>
  <c r="AT41" i="4"/>
  <c r="AT42" i="4"/>
  <c r="AT43" i="4"/>
  <c r="AT44" i="4"/>
  <c r="AT45" i="4"/>
  <c r="AU45" i="4" s="1"/>
  <c r="AV45" i="4" s="1"/>
  <c r="AT46" i="4"/>
  <c r="AT47" i="4"/>
  <c r="AT48" i="4"/>
  <c r="AU48" i="4" s="1"/>
  <c r="AV48" i="4" s="1"/>
  <c r="AT49" i="4"/>
  <c r="AU49" i="4" s="1"/>
  <c r="AV49" i="4" s="1"/>
  <c r="AT50" i="4"/>
  <c r="AT51" i="4"/>
  <c r="AT52" i="4"/>
  <c r="AU52" i="4" s="1"/>
  <c r="AV52" i="4" s="1"/>
  <c r="AT53" i="4"/>
  <c r="AT54" i="4"/>
  <c r="AT55" i="4"/>
  <c r="AT56" i="4"/>
  <c r="AT57" i="4"/>
  <c r="AU57" i="4" s="1"/>
  <c r="AV57" i="4" s="1"/>
  <c r="AT58" i="4"/>
  <c r="AT59" i="4"/>
  <c r="AT60" i="4"/>
  <c r="AT61" i="4"/>
  <c r="AT62" i="4"/>
  <c r="AT63" i="4"/>
  <c r="AT64" i="4"/>
  <c r="AU64" i="4" s="1"/>
  <c r="AV64" i="4" s="1"/>
  <c r="AT65" i="4"/>
  <c r="AU65" i="4" s="1"/>
  <c r="AV65" i="4" s="1"/>
  <c r="AT66" i="4"/>
  <c r="AT67" i="4"/>
  <c r="AT68" i="4"/>
  <c r="AU68" i="4" s="1"/>
  <c r="AV68" i="4" s="1"/>
  <c r="AT69" i="4"/>
  <c r="AU69" i="4" s="1"/>
  <c r="AV69" i="4" s="1"/>
  <c r="AT70" i="4"/>
  <c r="AT72" i="4"/>
  <c r="AT73" i="4"/>
  <c r="AT74" i="4"/>
  <c r="AT75" i="4"/>
  <c r="AT76" i="4"/>
  <c r="AT77" i="4"/>
  <c r="AU77" i="4" s="1"/>
  <c r="AV77" i="4" s="1"/>
  <c r="AT78" i="4"/>
  <c r="AU78" i="4" s="1"/>
  <c r="AV78" i="4" s="1"/>
  <c r="AT79" i="4"/>
  <c r="AT80" i="4"/>
  <c r="AT81" i="4"/>
  <c r="AT82" i="4"/>
  <c r="AU82" i="4" s="1"/>
  <c r="AV82" i="4" s="1"/>
  <c r="AT83" i="4"/>
  <c r="AT84" i="4"/>
  <c r="AT85" i="4"/>
  <c r="AT86" i="4"/>
  <c r="AU86" i="4" s="1"/>
  <c r="AV86" i="4" s="1"/>
  <c r="AT87" i="4"/>
  <c r="AT88" i="4"/>
  <c r="AT89" i="4"/>
  <c r="AU89" i="4" s="1"/>
  <c r="AV89" i="4" s="1"/>
  <c r="AT90" i="4"/>
  <c r="AU90" i="4" s="1"/>
  <c r="AV90" i="4" s="1"/>
  <c r="AT91" i="4"/>
  <c r="AT92" i="4"/>
  <c r="AT93" i="4"/>
  <c r="AU93" i="4" s="1"/>
  <c r="AV93" i="4" s="1"/>
  <c r="AT94" i="4"/>
  <c r="AU94" i="4" s="1"/>
  <c r="AV94" i="4" s="1"/>
  <c r="AT95" i="4"/>
  <c r="AT96" i="4"/>
  <c r="AT97" i="4"/>
  <c r="AT98" i="4"/>
  <c r="AT99" i="4"/>
  <c r="AT100" i="4"/>
  <c r="AT101" i="4"/>
  <c r="AU101" i="4" s="1"/>
  <c r="AV101" i="4" s="1"/>
  <c r="AT102" i="4"/>
  <c r="AU102" i="4" s="1"/>
  <c r="AV102" i="4" s="1"/>
  <c r="AT103" i="4"/>
  <c r="AT104" i="4"/>
  <c r="AT105" i="4"/>
  <c r="AT106" i="4"/>
  <c r="AU106" i="4" s="1"/>
  <c r="AV106" i="4" s="1"/>
  <c r="AT107" i="4"/>
  <c r="AT108" i="4"/>
  <c r="AT109" i="4"/>
  <c r="AT110" i="4"/>
  <c r="AU110" i="4" s="1"/>
  <c r="AV110" i="4" s="1"/>
  <c r="AT111" i="4"/>
  <c r="AT112" i="4"/>
  <c r="AT113" i="4"/>
  <c r="AU113" i="4" s="1"/>
  <c r="AV113" i="4" s="1"/>
  <c r="AT114" i="4"/>
  <c r="AT115" i="4"/>
  <c r="AT117" i="4"/>
  <c r="AT118" i="4"/>
  <c r="AU118" i="4" s="1"/>
  <c r="AV118" i="4" s="1"/>
  <c r="AT119" i="4"/>
  <c r="AU119" i="4" s="1"/>
  <c r="AV119" i="4" s="1"/>
  <c r="AT120" i="4"/>
  <c r="AT121" i="4"/>
  <c r="AT122" i="4"/>
  <c r="AT123" i="4"/>
  <c r="AU123" i="4" s="1"/>
  <c r="AV123" i="4" s="1"/>
  <c r="AT124" i="4"/>
  <c r="AT125" i="4"/>
  <c r="AT126" i="4"/>
  <c r="AU126" i="4" s="1"/>
  <c r="AV126" i="4" s="1"/>
  <c r="AT127" i="4"/>
  <c r="AU127" i="4" s="1"/>
  <c r="AV127" i="4" s="1"/>
  <c r="AT128" i="4"/>
  <c r="AT129" i="4"/>
  <c r="AT130" i="4"/>
  <c r="AT131" i="4"/>
  <c r="AT132" i="4"/>
  <c r="AT133" i="4"/>
  <c r="AT134" i="4"/>
  <c r="AT135" i="4"/>
  <c r="AU135" i="4" s="1"/>
  <c r="AV135" i="4" s="1"/>
  <c r="AT136" i="4"/>
  <c r="AT137" i="4"/>
  <c r="AT138" i="4"/>
  <c r="AU138" i="4" s="1"/>
  <c r="AV138" i="4" s="1"/>
  <c r="AT139" i="4"/>
  <c r="AU139" i="4" s="1"/>
  <c r="AV139" i="4" s="1"/>
  <c r="AT140" i="4"/>
  <c r="AT141" i="4"/>
  <c r="AT142" i="4"/>
  <c r="AT143" i="4"/>
  <c r="AU143" i="4" s="1"/>
  <c r="AV143" i="4" s="1"/>
  <c r="AT144" i="4"/>
  <c r="AT145" i="4"/>
  <c r="AT146" i="4"/>
  <c r="AU146" i="4" s="1"/>
  <c r="AV146" i="4" s="1"/>
  <c r="AT147" i="4"/>
  <c r="AT148" i="4"/>
  <c r="AT149" i="4"/>
  <c r="AT150" i="4"/>
  <c r="AT151" i="4"/>
  <c r="AU151" i="4" s="1"/>
  <c r="AV151" i="4" s="1"/>
  <c r="AT152" i="4"/>
  <c r="AT153" i="4"/>
  <c r="AT154" i="4"/>
  <c r="AU154" i="4" s="1"/>
  <c r="AV154" i="4" s="1"/>
  <c r="AT155" i="4"/>
  <c r="AU155" i="4" s="1"/>
  <c r="AV155" i="4" s="1"/>
  <c r="AT156" i="4"/>
  <c r="AT157" i="4"/>
  <c r="AT158" i="4"/>
  <c r="AT159" i="4"/>
  <c r="AU159" i="4" s="1"/>
  <c r="AV159" i="4" s="1"/>
  <c r="AT160" i="4"/>
  <c r="AT161" i="4"/>
  <c r="AT162" i="4"/>
  <c r="AU162" i="4" s="1"/>
  <c r="AV162" i="4" s="1"/>
  <c r="AT163" i="4"/>
  <c r="AU163" i="4" s="1"/>
  <c r="AV163" i="4" s="1"/>
  <c r="AT164" i="4"/>
  <c r="AT165" i="4"/>
  <c r="AT166" i="4"/>
  <c r="AU166" i="4" s="1"/>
  <c r="AV166" i="4" s="1"/>
  <c r="AT167" i="4"/>
  <c r="AT168" i="4"/>
  <c r="AT169" i="4"/>
  <c r="AT170" i="4"/>
  <c r="AT171" i="4"/>
  <c r="AU171" i="4" s="1"/>
  <c r="AV171" i="4" s="1"/>
  <c r="AT172" i="4"/>
  <c r="AT173" i="4"/>
  <c r="AU17" i="4"/>
  <c r="AV17" i="4" s="1"/>
  <c r="AU41" i="4"/>
  <c r="AV41" i="4" s="1"/>
  <c r="AU61" i="4"/>
  <c r="AV61" i="4" s="1"/>
  <c r="AU81" i="4"/>
  <c r="AV81" i="4" s="1"/>
  <c r="AU85" i="4"/>
  <c r="AV85" i="4" s="1"/>
  <c r="AU105" i="4"/>
  <c r="AV105" i="4" s="1"/>
  <c r="AU109" i="4"/>
  <c r="AV109" i="4" s="1"/>
  <c r="AU121" i="4"/>
  <c r="AV121" i="4" s="1"/>
  <c r="AU125" i="4"/>
  <c r="AV125" i="4" s="1"/>
  <c r="AU129" i="4"/>
  <c r="AV129" i="4" s="1"/>
  <c r="AU137" i="4"/>
  <c r="AV137" i="4" s="1"/>
  <c r="AU141" i="4"/>
  <c r="AV141" i="4" s="1"/>
  <c r="AU145" i="4"/>
  <c r="AV145" i="4" s="1"/>
  <c r="AU153" i="4"/>
  <c r="AV153" i="4" s="1"/>
  <c r="AU157" i="4"/>
  <c r="AV157" i="4" s="1"/>
  <c r="AU161" i="4"/>
  <c r="AV161" i="4" s="1"/>
  <c r="AU167" i="4"/>
  <c r="AV167" i="4" s="1"/>
  <c r="AU169" i="4"/>
  <c r="AV169" i="4" s="1"/>
  <c r="AU173" i="4"/>
  <c r="AV173" i="4" s="1"/>
  <c r="AU8" i="4"/>
  <c r="AV8" i="4" s="1"/>
  <c r="AU12" i="4"/>
  <c r="AV12" i="4" s="1"/>
  <c r="AU24" i="4"/>
  <c r="AV24" i="4" s="1"/>
  <c r="AU28" i="4"/>
  <c r="AV28" i="4" s="1"/>
  <c r="AU40" i="4"/>
  <c r="AV40" i="4" s="1"/>
  <c r="AU44" i="4"/>
  <c r="AV44" i="4" s="1"/>
  <c r="AU56" i="4"/>
  <c r="AV56" i="4" s="1"/>
  <c r="AU60" i="4"/>
  <c r="AV60" i="4" s="1"/>
  <c r="AU73" i="4"/>
  <c r="AV73" i="4" s="1"/>
  <c r="AU74" i="4"/>
  <c r="AV74" i="4" s="1"/>
  <c r="AU98" i="4"/>
  <c r="AV98" i="4" s="1"/>
  <c r="AU114" i="4"/>
  <c r="AV114" i="4" s="1"/>
  <c r="AU131" i="4"/>
  <c r="AV131" i="4" s="1"/>
  <c r="AU147" i="4"/>
  <c r="AV147" i="4" s="1"/>
  <c r="AU170" i="4"/>
  <c r="AV170" i="4" s="1"/>
  <c r="AU116" i="4"/>
  <c r="AV116" i="4" s="1"/>
  <c r="AU97" i="4"/>
  <c r="AV97" i="4" s="1"/>
  <c r="AU115" i="4"/>
  <c r="AV115" i="4" s="1"/>
  <c r="AU168" i="4"/>
  <c r="AV168" i="4" s="1"/>
  <c r="AU172" i="4"/>
  <c r="AV172" i="4" s="1"/>
  <c r="K38" i="6"/>
  <c r="K37" i="6"/>
  <c r="K36" i="6"/>
  <c r="K34" i="6"/>
  <c r="K33" i="6"/>
  <c r="K32" i="6"/>
  <c r="G38" i="6"/>
  <c r="G37" i="6"/>
  <c r="G36" i="6"/>
  <c r="G34" i="6"/>
  <c r="G33" i="6"/>
  <c r="G32" i="6"/>
  <c r="C37" i="6"/>
  <c r="C38" i="6"/>
  <c r="C36" i="6"/>
  <c r="C35" i="6"/>
  <c r="C34" i="6"/>
  <c r="C33" i="6"/>
  <c r="C32" i="6"/>
  <c r="G10" i="6"/>
  <c r="K10" i="6" s="1"/>
  <c r="AJ177" i="4"/>
  <c r="AJ176" i="4"/>
  <c r="AJ175" i="4"/>
  <c r="AJ174" i="4"/>
  <c r="V177" i="4"/>
  <c r="V176" i="4"/>
  <c r="C10" i="6" a="1"/>
  <c r="C10" i="6" s="1"/>
  <c r="W5" i="4"/>
  <c r="AU71" i="4"/>
  <c r="AV71" i="4" s="1"/>
  <c r="AU165" i="4"/>
  <c r="AV165" i="4" s="1"/>
  <c r="AU164" i="4"/>
  <c r="AV164" i="4" s="1"/>
  <c r="AU160" i="4"/>
  <c r="AV160" i="4" s="1"/>
  <c r="AU158" i="4"/>
  <c r="AV158" i="4" s="1"/>
  <c r="AU156" i="4"/>
  <c r="AV156" i="4" s="1"/>
  <c r="AU152" i="4"/>
  <c r="AV152" i="4" s="1"/>
  <c r="AU150" i="4"/>
  <c r="AV150" i="4" s="1"/>
  <c r="AU149" i="4"/>
  <c r="AV149" i="4" s="1"/>
  <c r="AU148" i="4"/>
  <c r="AV148" i="4" s="1"/>
  <c r="AU144" i="4"/>
  <c r="AV144" i="4" s="1"/>
  <c r="AU142" i="4"/>
  <c r="AV142" i="4" s="1"/>
  <c r="AU140" i="4"/>
  <c r="AV140" i="4" s="1"/>
  <c r="AU136" i="4"/>
  <c r="AV136" i="4" s="1"/>
  <c r="AU134" i="4"/>
  <c r="AV134" i="4" s="1"/>
  <c r="AU133" i="4"/>
  <c r="AV133" i="4" s="1"/>
  <c r="AU132" i="4"/>
  <c r="AV132" i="4" s="1"/>
  <c r="AU130" i="4"/>
  <c r="AV130" i="4" s="1"/>
  <c r="AU128" i="4"/>
  <c r="AV128" i="4" s="1"/>
  <c r="AU124" i="4"/>
  <c r="AV124" i="4" s="1"/>
  <c r="AU122" i="4"/>
  <c r="AV122" i="4" s="1"/>
  <c r="AU120" i="4"/>
  <c r="AV120" i="4" s="1"/>
  <c r="AU117" i="4"/>
  <c r="AV117" i="4" s="1"/>
  <c r="AU112" i="4"/>
  <c r="AV112" i="4" s="1"/>
  <c r="AU111" i="4"/>
  <c r="AV111" i="4" s="1"/>
  <c r="AU108" i="4"/>
  <c r="AV108" i="4" s="1"/>
  <c r="AU107" i="4"/>
  <c r="AV107" i="4" s="1"/>
  <c r="AU104" i="4"/>
  <c r="AV104" i="4" s="1"/>
  <c r="AU103" i="4"/>
  <c r="AV103" i="4" s="1"/>
  <c r="AU100" i="4"/>
  <c r="AV100" i="4" s="1"/>
  <c r="AU99" i="4"/>
  <c r="AV99" i="4" s="1"/>
  <c r="AU96" i="4"/>
  <c r="AV96" i="4" s="1"/>
  <c r="AU95" i="4"/>
  <c r="AV95" i="4" s="1"/>
  <c r="AU92" i="4"/>
  <c r="AV92" i="4" s="1"/>
  <c r="AU91" i="4"/>
  <c r="AV91" i="4" s="1"/>
  <c r="AU88" i="4"/>
  <c r="AV88" i="4" s="1"/>
  <c r="AU87" i="4"/>
  <c r="AV87" i="4" s="1"/>
  <c r="AU84" i="4"/>
  <c r="AV84" i="4" s="1"/>
  <c r="AU83" i="4"/>
  <c r="AV83" i="4" s="1"/>
  <c r="AU80" i="4"/>
  <c r="AV80" i="4" s="1"/>
  <c r="AU79" i="4"/>
  <c r="AV79" i="4" s="1"/>
  <c r="AU76" i="4"/>
  <c r="AV76" i="4" s="1"/>
  <c r="AU75" i="4"/>
  <c r="AV75" i="4" s="1"/>
  <c r="AU72" i="4"/>
  <c r="AV72" i="4" s="1"/>
  <c r="AU70" i="4"/>
  <c r="AV70" i="4" s="1"/>
  <c r="AU67" i="4"/>
  <c r="AV67" i="4" s="1"/>
  <c r="AU66" i="4"/>
  <c r="AV66" i="4" s="1"/>
  <c r="AU63" i="4"/>
  <c r="AV63" i="4" s="1"/>
  <c r="AU62" i="4"/>
  <c r="AV62" i="4" s="1"/>
  <c r="AU59" i="4"/>
  <c r="AV59" i="4" s="1"/>
  <c r="AU58" i="4"/>
  <c r="AV58" i="4" s="1"/>
  <c r="AU55" i="4"/>
  <c r="AV55" i="4" s="1"/>
  <c r="AU54" i="4"/>
  <c r="AV54" i="4" s="1"/>
  <c r="AU53" i="4"/>
  <c r="AV53" i="4" s="1"/>
  <c r="AU51" i="4"/>
  <c r="AV51" i="4" s="1"/>
  <c r="AU50" i="4"/>
  <c r="AV50" i="4" s="1"/>
  <c r="AU47" i="4"/>
  <c r="AV47" i="4" s="1"/>
  <c r="AU46" i="4"/>
  <c r="AV46" i="4" s="1"/>
  <c r="AU43" i="4"/>
  <c r="AV43" i="4" s="1"/>
  <c r="AU42" i="4"/>
  <c r="AV42" i="4" s="1"/>
  <c r="AU39" i="4"/>
  <c r="AV39" i="4" s="1"/>
  <c r="AU38" i="4"/>
  <c r="AV38" i="4" s="1"/>
  <c r="AU35" i="4"/>
  <c r="AV35" i="4" s="1"/>
  <c r="AU34" i="4"/>
  <c r="AV34" i="4" s="1"/>
  <c r="AU31" i="4"/>
  <c r="AV31" i="4" s="1"/>
  <c r="AU30" i="4"/>
  <c r="AV30" i="4" s="1"/>
  <c r="AU27" i="4"/>
  <c r="AV27" i="4" s="1"/>
  <c r="AU26" i="4"/>
  <c r="AV26" i="4" s="1"/>
  <c r="AU23" i="4"/>
  <c r="AV23" i="4" s="1"/>
  <c r="AU22" i="4"/>
  <c r="AV22" i="4" s="1"/>
  <c r="AU18" i="4"/>
  <c r="AV18" i="4" s="1"/>
  <c r="AU16" i="4"/>
  <c r="AV16" i="4" s="1"/>
  <c r="AU15" i="4"/>
  <c r="AV15" i="4" s="1"/>
  <c r="AU14" i="4"/>
  <c r="AV14" i="4" s="1"/>
  <c r="AU11" i="4"/>
  <c r="AV11" i="4" s="1"/>
  <c r="AU10" i="4"/>
  <c r="AV10" i="4" s="1"/>
  <c r="AU7" i="4"/>
  <c r="AV7" i="4" s="1"/>
  <c r="AU6" i="4"/>
  <c r="AV6" i="4" s="1"/>
  <c r="AU5" i="4"/>
  <c r="AV5" i="4" s="1"/>
  <c r="M61" i="6"/>
  <c r="M63" i="6" s="1"/>
  <c r="AD5" i="5"/>
  <c r="AA8" i="5"/>
  <c r="AA6" i="5"/>
  <c r="Z8" i="5"/>
  <c r="Z6" i="5"/>
  <c r="Z7" i="5"/>
  <c r="AG8" i="5"/>
  <c r="AG6" i="5"/>
  <c r="AF8" i="5"/>
  <c r="AF6" i="5"/>
  <c r="AE8" i="5"/>
  <c r="AE6" i="5"/>
  <c r="AG5" i="5"/>
  <c r="AF5" i="5"/>
  <c r="AE5" i="5"/>
  <c r="Z9" i="5"/>
  <c r="U8" i="5"/>
  <c r="T8" i="5"/>
  <c r="Q8" i="5"/>
  <c r="P8" i="5"/>
  <c r="U7" i="5"/>
  <c r="T7" i="5"/>
  <c r="Q7" i="5"/>
  <c r="P7" i="5"/>
  <c r="AB6" i="5"/>
  <c r="U6" i="5"/>
  <c r="T6" i="5"/>
  <c r="Q6" i="5"/>
  <c r="P6" i="5"/>
  <c r="H6" i="5"/>
  <c r="H8" i="5"/>
  <c r="H7" i="5"/>
  <c r="G8" i="5"/>
  <c r="G7" i="5"/>
  <c r="AD3" i="5"/>
  <c r="AD4" i="5"/>
  <c r="AD2" i="5"/>
  <c r="AC5" i="5"/>
  <c r="Y5" i="5"/>
  <c r="AA5" i="5" s="1"/>
  <c r="X5" i="5"/>
  <c r="Z5" i="5" s="1"/>
  <c r="Z4" i="5"/>
  <c r="S5" i="5"/>
  <c r="R5" i="5"/>
  <c r="G6" i="5"/>
  <c r="G5" i="5"/>
  <c r="H5" i="5"/>
  <c r="P5" i="5"/>
  <c r="Q5" i="5"/>
  <c r="T5" i="5"/>
  <c r="U5" i="5"/>
  <c r="V5" i="5"/>
  <c r="W5" i="5"/>
  <c r="AB5" i="5"/>
  <c r="F5" i="5"/>
  <c r="AW116" i="4" l="1"/>
  <c r="N61" i="6"/>
  <c r="AC3" i="5"/>
  <c r="AC2" i="5"/>
  <c r="O61" i="6"/>
  <c r="O62" i="6"/>
  <c r="O60" i="6"/>
  <c r="P177" i="4" l="1"/>
  <c r="R65" i="4"/>
  <c r="S173" i="4"/>
  <c r="R172" i="4"/>
  <c r="S171" i="4"/>
  <c r="R171" i="4"/>
  <c r="R170" i="4"/>
  <c r="R169" i="4"/>
  <c r="R168" i="4"/>
  <c r="R167" i="4"/>
  <c r="S166" i="4"/>
  <c r="S165" i="4"/>
  <c r="R165" i="4"/>
  <c r="S164" i="4"/>
  <c r="R164" i="4"/>
  <c r="R163" i="4"/>
  <c r="R162" i="4"/>
  <c r="S161" i="4"/>
  <c r="S160" i="4"/>
  <c r="R160" i="4"/>
  <c r="S159" i="4"/>
  <c r="R159" i="4"/>
  <c r="R158" i="4"/>
  <c r="S157" i="4"/>
  <c r="R157" i="4"/>
  <c r="S156" i="4"/>
  <c r="R156" i="4"/>
  <c r="S155" i="4"/>
  <c r="R155" i="4"/>
  <c r="R154" i="4"/>
  <c r="S153" i="4"/>
  <c r="R153" i="4"/>
  <c r="S152" i="4"/>
  <c r="R152" i="4"/>
  <c r="R151" i="4"/>
  <c r="R150" i="4"/>
  <c r="R149" i="4"/>
  <c r="S148" i="4"/>
  <c r="R148" i="4"/>
  <c r="R147" i="4"/>
  <c r="S146" i="4"/>
  <c r="R146" i="4"/>
  <c r="R145" i="4"/>
  <c r="R144" i="4"/>
  <c r="R143" i="4"/>
  <c r="R142" i="4"/>
  <c r="S141" i="4"/>
  <c r="R141" i="4"/>
  <c r="S140" i="4"/>
  <c r="R140" i="4"/>
  <c r="S139" i="4"/>
  <c r="R139" i="4"/>
  <c r="R138" i="4"/>
  <c r="S137" i="4"/>
  <c r="S136" i="4"/>
  <c r="R136" i="4"/>
  <c r="R135" i="4"/>
  <c r="R134" i="4"/>
  <c r="S133" i="4"/>
  <c r="R133" i="4"/>
  <c r="S132" i="4"/>
  <c r="R132" i="4"/>
  <c r="S131" i="4"/>
  <c r="R131" i="4"/>
  <c r="R130" i="4"/>
  <c r="R129" i="4"/>
  <c r="R128" i="4"/>
  <c r="R127" i="4"/>
  <c r="R126" i="4"/>
  <c r="R125" i="4"/>
  <c r="S124" i="4"/>
  <c r="R124" i="4"/>
  <c r="R123" i="4"/>
  <c r="S122" i="4"/>
  <c r="S121" i="4"/>
  <c r="R121" i="4"/>
  <c r="R120" i="4"/>
  <c r="R119" i="4"/>
  <c r="R118" i="4"/>
  <c r="R117" i="4"/>
  <c r="R116" i="4"/>
  <c r="S115" i="4"/>
  <c r="R115" i="4"/>
  <c r="R114" i="4"/>
  <c r="R113" i="4"/>
  <c r="S112" i="4"/>
  <c r="R112" i="4"/>
  <c r="S111" i="4"/>
  <c r="R111" i="4"/>
  <c r="S110" i="4"/>
  <c r="R110" i="4"/>
  <c r="S109" i="4"/>
  <c r="R109" i="4"/>
  <c r="S108" i="4"/>
  <c r="R108" i="4"/>
  <c r="S107" i="4"/>
  <c r="R107" i="4"/>
  <c r="R106" i="4"/>
  <c r="S105" i="4"/>
  <c r="R105" i="4"/>
  <c r="R104" i="4"/>
  <c r="R103" i="4"/>
  <c r="S102" i="4"/>
  <c r="R102" i="4"/>
  <c r="R101" i="4"/>
  <c r="R100" i="4"/>
  <c r="S98" i="4"/>
  <c r="R98" i="4"/>
  <c r="R97" i="4"/>
  <c r="S96" i="4"/>
  <c r="R96" i="4"/>
  <c r="R95" i="4"/>
  <c r="S94" i="4"/>
  <c r="R93" i="4"/>
  <c r="S92" i="4"/>
  <c r="R92" i="4"/>
  <c r="S91" i="4"/>
  <c r="R91" i="4"/>
  <c r="R90" i="4"/>
  <c r="S89" i="4"/>
  <c r="R89" i="4"/>
  <c r="S88" i="4"/>
  <c r="R88" i="4"/>
  <c r="S87" i="4"/>
  <c r="R87" i="4"/>
  <c r="R84" i="4"/>
  <c r="R83" i="4"/>
  <c r="R82" i="4"/>
  <c r="R81" i="4"/>
  <c r="R80" i="4"/>
  <c r="R79" i="4"/>
  <c r="R78" i="4"/>
  <c r="S77" i="4"/>
  <c r="R77" i="4"/>
  <c r="S76" i="4"/>
  <c r="R76" i="4"/>
  <c r="R75" i="4"/>
  <c r="S73" i="4"/>
  <c r="R73" i="4"/>
  <c r="S72" i="4"/>
  <c r="R72" i="4"/>
  <c r="S71" i="4"/>
  <c r="S70" i="4"/>
  <c r="R70" i="4"/>
  <c r="S69" i="4"/>
  <c r="R69" i="4"/>
  <c r="R68" i="4"/>
  <c r="S67" i="4"/>
  <c r="R67" i="4"/>
  <c r="S66" i="4"/>
  <c r="R66" i="4"/>
  <c r="S64" i="4"/>
  <c r="R64" i="4"/>
  <c r="R63" i="4"/>
  <c r="S61" i="4"/>
  <c r="R61" i="4"/>
  <c r="S60" i="4"/>
  <c r="R60" i="4"/>
  <c r="R59" i="4"/>
  <c r="S58" i="4"/>
  <c r="R58" i="4"/>
  <c r="R57" i="4"/>
  <c r="S56" i="4"/>
  <c r="R56" i="4"/>
  <c r="S55" i="4"/>
  <c r="R55" i="4"/>
  <c r="S54" i="4"/>
  <c r="R54" i="4"/>
  <c r="S53" i="4"/>
  <c r="R53" i="4"/>
  <c r="S52" i="4"/>
  <c r="R52" i="4"/>
  <c r="R51" i="4"/>
  <c r="R50" i="4"/>
  <c r="S49" i="4"/>
  <c r="R49" i="4"/>
  <c r="S48" i="4"/>
  <c r="R48" i="4"/>
  <c r="R47" i="4"/>
  <c r="S46" i="4"/>
  <c r="R46" i="4"/>
  <c r="R45" i="4"/>
  <c r="R44" i="4"/>
  <c r="S43" i="4"/>
  <c r="R43" i="4"/>
  <c r="R42" i="4"/>
  <c r="S41" i="4"/>
  <c r="R41" i="4"/>
  <c r="R40" i="4"/>
  <c r="S39" i="4"/>
  <c r="R39" i="4"/>
  <c r="R38" i="4"/>
  <c r="S37" i="4"/>
  <c r="R37" i="4"/>
  <c r="S36" i="4"/>
  <c r="R36" i="4"/>
  <c r="S35" i="4"/>
  <c r="R35" i="4"/>
  <c r="R34" i="4"/>
  <c r="S33" i="4"/>
  <c r="R33" i="4"/>
  <c r="R32" i="4"/>
  <c r="S31" i="4"/>
  <c r="R31" i="4"/>
  <c r="R30" i="4"/>
  <c r="R29" i="4"/>
  <c r="S28" i="4"/>
  <c r="R28" i="4"/>
  <c r="R27" i="4"/>
  <c r="S26" i="4"/>
  <c r="R26" i="4"/>
  <c r="R25" i="4"/>
  <c r="R24" i="4"/>
  <c r="R23" i="4"/>
  <c r="R22" i="4"/>
  <c r="R21" i="4"/>
  <c r="R20" i="4"/>
  <c r="S18" i="4"/>
  <c r="R18" i="4"/>
  <c r="R17" i="4"/>
  <c r="R16" i="4"/>
  <c r="S15" i="4"/>
  <c r="R15" i="4"/>
  <c r="S14" i="4"/>
  <c r="R14" i="4"/>
  <c r="R13" i="4"/>
  <c r="R12" i="4"/>
  <c r="R11" i="4"/>
  <c r="S10" i="4"/>
  <c r="R10" i="4"/>
  <c r="S9" i="4"/>
  <c r="R9" i="4"/>
  <c r="S8" i="4"/>
  <c r="R8" i="4"/>
  <c r="R7" i="4"/>
  <c r="R6" i="4"/>
  <c r="S5" i="4"/>
  <c r="R5" i="4"/>
  <c r="P9" i="5" l="1"/>
  <c r="N19" i="6" s="1"/>
  <c r="T9" i="5"/>
  <c r="U9" i="5"/>
  <c r="H9" i="5"/>
  <c r="Q9" i="5"/>
  <c r="N23" i="6" s="1"/>
  <c r="G9" i="5"/>
  <c r="U119" i="10"/>
  <c r="U77" i="10"/>
  <c r="T165" i="10"/>
  <c r="U165" i="10" s="1"/>
  <c r="T166" i="10"/>
  <c r="T167" i="10"/>
  <c r="T168" i="10"/>
  <c r="T169" i="10"/>
  <c r="T170" i="10"/>
  <c r="U170" i="10" s="1"/>
  <c r="T171" i="10"/>
  <c r="T172" i="10"/>
  <c r="T173" i="10"/>
  <c r="T174" i="10"/>
  <c r="T175" i="10"/>
  <c r="T176" i="10"/>
  <c r="T177" i="10"/>
  <c r="U177" i="10" s="1"/>
  <c r="Q208" i="10"/>
  <c r="S12" i="10"/>
  <c r="S13" i="10"/>
  <c r="S17" i="10"/>
  <c r="S18" i="10"/>
  <c r="S19" i="10"/>
  <c r="S22" i="10"/>
  <c r="S23" i="10"/>
  <c r="S26" i="10"/>
  <c r="S27" i="10"/>
  <c r="S28" i="10"/>
  <c r="S29" i="10"/>
  <c r="S30" i="10"/>
  <c r="S31" i="10"/>
  <c r="S33" i="10"/>
  <c r="S35" i="10"/>
  <c r="S36" i="10"/>
  <c r="S45" i="10"/>
  <c r="S47" i="10"/>
  <c r="S49" i="10"/>
  <c r="S52" i="10"/>
  <c r="S54" i="10"/>
  <c r="S57" i="10"/>
  <c r="S58" i="10"/>
  <c r="S64" i="10"/>
  <c r="S66" i="10"/>
  <c r="S69" i="10"/>
  <c r="S74" i="10"/>
  <c r="S83" i="10"/>
  <c r="S84" i="10"/>
  <c r="S85" i="10"/>
  <c r="S86" i="10"/>
  <c r="S87" i="10"/>
  <c r="S88" i="10"/>
  <c r="S89" i="10"/>
  <c r="S100" i="10"/>
  <c r="S103" i="10"/>
  <c r="S104" i="10"/>
  <c r="S106" i="10"/>
  <c r="S107" i="10"/>
  <c r="S109" i="10"/>
  <c r="S116" i="10"/>
  <c r="S117" i="10"/>
  <c r="S120" i="10"/>
  <c r="S122" i="10"/>
  <c r="S123" i="10"/>
  <c r="S128" i="10"/>
  <c r="S129" i="10"/>
  <c r="S132" i="10"/>
  <c r="S137" i="10"/>
  <c r="S138" i="10"/>
  <c r="S146" i="10"/>
  <c r="U146" i="10" s="1"/>
  <c r="S147" i="10"/>
  <c r="S148" i="10"/>
  <c r="S149" i="10"/>
  <c r="S151" i="10"/>
  <c r="S153" i="10"/>
  <c r="S154" i="10"/>
  <c r="S155" i="10"/>
  <c r="S158" i="10"/>
  <c r="S162" i="10"/>
  <c r="S166" i="10"/>
  <c r="S167" i="10"/>
  <c r="S171" i="10"/>
  <c r="S172" i="10"/>
  <c r="S173" i="10"/>
  <c r="S174" i="10"/>
  <c r="S176" i="10"/>
  <c r="P193" i="10"/>
  <c r="S191" i="10"/>
  <c r="S193" i="10" s="1"/>
  <c r="P191" i="10"/>
  <c r="M183" i="7"/>
  <c r="N30" i="6" l="1"/>
  <c r="N15" i="6"/>
  <c r="N27" i="6"/>
  <c r="N11" i="6"/>
  <c r="U172" i="10"/>
  <c r="S210" i="10"/>
  <c r="U167" i="10"/>
  <c r="U173" i="10"/>
  <c r="U171" i="10"/>
  <c r="U166" i="10"/>
  <c r="U176" i="10"/>
  <c r="U174" i="10"/>
  <c r="P189" i="7" l="1"/>
  <c r="N189" i="7"/>
  <c r="M189" i="7"/>
  <c r="L189" i="7"/>
  <c r="K189" i="7"/>
  <c r="J189" i="7"/>
  <c r="P188" i="7"/>
  <c r="P187" i="7"/>
  <c r="N188" i="7"/>
  <c r="M188" i="7"/>
  <c r="L188" i="7"/>
  <c r="K188" i="7"/>
  <c r="J188" i="7"/>
  <c r="S161" i="10"/>
  <c r="P161" i="10"/>
  <c r="N187" i="7"/>
  <c r="M187" i="7"/>
  <c r="L187" i="7"/>
  <c r="K187" i="7"/>
  <c r="J187" i="7"/>
  <c r="P104" i="10"/>
  <c r="P22" i="10"/>
  <c r="Q19" i="4"/>
  <c r="T25" i="10" s="1"/>
  <c r="P19" i="4"/>
  <c r="P12" i="10"/>
  <c r="L183" i="7"/>
  <c r="S180" i="10" s="1"/>
  <c r="S208" i="10" s="1"/>
  <c r="J183" i="7"/>
  <c r="P180" i="10" s="1"/>
  <c r="P208" i="10" s="1"/>
  <c r="P186" i="7"/>
  <c r="P185" i="7"/>
  <c r="N186" i="7"/>
  <c r="M186" i="7"/>
  <c r="L186" i="7"/>
  <c r="K186" i="7"/>
  <c r="J186" i="7"/>
  <c r="P94" i="10" s="1"/>
  <c r="N185" i="7"/>
  <c r="M185" i="7"/>
  <c r="L185" i="7"/>
  <c r="S68" i="10" s="1"/>
  <c r="K185" i="7"/>
  <c r="J185" i="7"/>
  <c r="P68" i="10" s="1"/>
  <c r="G201" i="10"/>
  <c r="F201" i="10"/>
  <c r="G188" i="10"/>
  <c r="F188" i="10"/>
  <c r="G179" i="10"/>
  <c r="F179" i="10"/>
  <c r="E201" i="10"/>
  <c r="E188" i="10"/>
  <c r="S175" i="10"/>
  <c r="U175" i="10" s="1"/>
  <c r="S168" i="10"/>
  <c r="U168" i="10" s="1"/>
  <c r="S163" i="10"/>
  <c r="S159" i="10"/>
  <c r="S157" i="10"/>
  <c r="S156" i="10"/>
  <c r="S152" i="10"/>
  <c r="S150" i="10"/>
  <c r="S144" i="10"/>
  <c r="S143" i="10"/>
  <c r="S142" i="10"/>
  <c r="S140" i="10"/>
  <c r="S139" i="10"/>
  <c r="S135" i="10"/>
  <c r="S134" i="10"/>
  <c r="S133" i="10"/>
  <c r="S127" i="10"/>
  <c r="S126" i="10"/>
  <c r="S121" i="10"/>
  <c r="S118" i="10"/>
  <c r="S114" i="10"/>
  <c r="S113" i="10"/>
  <c r="S112" i="10"/>
  <c r="S111" i="10"/>
  <c r="S110" i="10"/>
  <c r="S108" i="10"/>
  <c r="S102" i="10"/>
  <c r="S101" i="10"/>
  <c r="S99" i="10"/>
  <c r="S98" i="10"/>
  <c r="S97" i="10"/>
  <c r="S96" i="10"/>
  <c r="S95" i="10"/>
  <c r="S92" i="10"/>
  <c r="S91" i="10"/>
  <c r="S90" i="10"/>
  <c r="S81" i="10"/>
  <c r="S79" i="10"/>
  <c r="S78" i="10"/>
  <c r="S76" i="10"/>
  <c r="S75" i="10"/>
  <c r="S73" i="10"/>
  <c r="S72" i="10"/>
  <c r="S71" i="10"/>
  <c r="S70" i="10"/>
  <c r="S67" i="10"/>
  <c r="S63" i="10"/>
  <c r="S62" i="10"/>
  <c r="S61" i="10"/>
  <c r="S60" i="10"/>
  <c r="S56" i="10"/>
  <c r="S55" i="10"/>
  <c r="S53" i="10"/>
  <c r="S50" i="10"/>
  <c r="S48" i="10"/>
  <c r="S41" i="10"/>
  <c r="S40" i="10"/>
  <c r="U40" i="10" s="1"/>
  <c r="S38" i="10"/>
  <c r="S37" i="10"/>
  <c r="S34" i="10"/>
  <c r="S21" i="10"/>
  <c r="S20" i="10"/>
  <c r="S16" i="10"/>
  <c r="S15" i="10"/>
  <c r="S14" i="10"/>
  <c r="P175" i="10"/>
  <c r="P174" i="10"/>
  <c r="P173" i="10"/>
  <c r="P168" i="10"/>
  <c r="P167" i="10"/>
  <c r="P166" i="10"/>
  <c r="P163" i="10"/>
  <c r="P159" i="10"/>
  <c r="P158" i="10"/>
  <c r="P157" i="10"/>
  <c r="P156" i="10"/>
  <c r="P155" i="10"/>
  <c r="P154" i="10"/>
  <c r="P153" i="10"/>
  <c r="P152" i="10"/>
  <c r="P151" i="10"/>
  <c r="P150" i="10"/>
  <c r="P148" i="10"/>
  <c r="P147" i="10"/>
  <c r="P144" i="10"/>
  <c r="P143" i="10"/>
  <c r="P142" i="10"/>
  <c r="P140" i="10"/>
  <c r="P139" i="10"/>
  <c r="P135" i="10"/>
  <c r="P134" i="10"/>
  <c r="P133" i="10"/>
  <c r="P132" i="10"/>
  <c r="P128" i="10"/>
  <c r="P127" i="10"/>
  <c r="P126" i="10"/>
  <c r="P121" i="10"/>
  <c r="P120" i="10"/>
  <c r="P118" i="10"/>
  <c r="P117" i="10"/>
  <c r="P116" i="10"/>
  <c r="P114" i="10"/>
  <c r="P113" i="10"/>
  <c r="P112" i="10"/>
  <c r="P111" i="10"/>
  <c r="P110" i="10"/>
  <c r="P109" i="10"/>
  <c r="P108" i="10"/>
  <c r="P103" i="10"/>
  <c r="P102" i="10"/>
  <c r="P101" i="10"/>
  <c r="P99" i="10"/>
  <c r="P98" i="10"/>
  <c r="P97" i="10"/>
  <c r="P96" i="10"/>
  <c r="P95" i="10"/>
  <c r="P92" i="10"/>
  <c r="P91" i="10"/>
  <c r="P90" i="10"/>
  <c r="P81" i="10"/>
  <c r="P79" i="10"/>
  <c r="P78" i="10"/>
  <c r="P76" i="10"/>
  <c r="P75" i="10"/>
  <c r="P73" i="10"/>
  <c r="P72" i="10"/>
  <c r="P71" i="10"/>
  <c r="P70" i="10"/>
  <c r="P69" i="10"/>
  <c r="P67" i="10"/>
  <c r="P66" i="10"/>
  <c r="P63" i="10"/>
  <c r="P62" i="10"/>
  <c r="P61" i="10"/>
  <c r="P60" i="10"/>
  <c r="P58" i="10"/>
  <c r="P57" i="10"/>
  <c r="P56" i="10"/>
  <c r="P55" i="10"/>
  <c r="P54" i="10"/>
  <c r="P53" i="10"/>
  <c r="P52" i="10"/>
  <c r="P50" i="10"/>
  <c r="P49" i="10"/>
  <c r="P48" i="10"/>
  <c r="P47" i="10"/>
  <c r="P41" i="10"/>
  <c r="P40" i="10"/>
  <c r="P38" i="10"/>
  <c r="P37" i="10"/>
  <c r="P34" i="10"/>
  <c r="P33" i="10"/>
  <c r="P21" i="10"/>
  <c r="P20" i="10"/>
  <c r="P19" i="10"/>
  <c r="P16" i="10"/>
  <c r="P15" i="10"/>
  <c r="P14" i="10"/>
  <c r="Q176" i="10"/>
  <c r="P176" i="10"/>
  <c r="Q175" i="10"/>
  <c r="Q174" i="10"/>
  <c r="Q173" i="10"/>
  <c r="Q172" i="10"/>
  <c r="P172" i="10"/>
  <c r="Q171" i="10"/>
  <c r="P171" i="10"/>
  <c r="Q170" i="10"/>
  <c r="S169" i="10"/>
  <c r="U169" i="10" s="1"/>
  <c r="Q169" i="10"/>
  <c r="P169" i="10"/>
  <c r="Q168" i="10"/>
  <c r="Q167" i="10"/>
  <c r="Q166" i="10"/>
  <c r="Q165" i="10"/>
  <c r="T164" i="10"/>
  <c r="S164" i="10"/>
  <c r="Q164" i="10"/>
  <c r="P164" i="10"/>
  <c r="T163" i="10"/>
  <c r="Q163" i="10"/>
  <c r="T162" i="10"/>
  <c r="U162" i="10" s="1"/>
  <c r="Q162" i="10"/>
  <c r="P162" i="10"/>
  <c r="T161" i="10"/>
  <c r="Q161" i="10"/>
  <c r="T160" i="10"/>
  <c r="S160" i="10"/>
  <c r="Q160" i="10"/>
  <c r="P160" i="10"/>
  <c r="T159" i="10"/>
  <c r="Q159" i="10"/>
  <c r="T158" i="10"/>
  <c r="U158" i="10" s="1"/>
  <c r="Q158" i="10"/>
  <c r="T157" i="10"/>
  <c r="Q157" i="10"/>
  <c r="T156" i="10"/>
  <c r="Q156" i="10"/>
  <c r="T155" i="10"/>
  <c r="U155" i="10" s="1"/>
  <c r="Q155" i="10"/>
  <c r="T154" i="10"/>
  <c r="U154" i="10" s="1"/>
  <c r="Q154" i="10"/>
  <c r="T153" i="10"/>
  <c r="U153" i="10" s="1"/>
  <c r="Q153" i="10"/>
  <c r="T152" i="10"/>
  <c r="Q152" i="10"/>
  <c r="T151" i="10"/>
  <c r="U151" i="10" s="1"/>
  <c r="Q151" i="10"/>
  <c r="T150" i="10"/>
  <c r="Q150" i="10"/>
  <c r="T149" i="10"/>
  <c r="U149" i="10" s="1"/>
  <c r="Q149" i="10"/>
  <c r="P149" i="10"/>
  <c r="T148" i="10"/>
  <c r="U148" i="10" s="1"/>
  <c r="Q148" i="10"/>
  <c r="T147" i="10"/>
  <c r="U147" i="10" s="1"/>
  <c r="Q147" i="10"/>
  <c r="P146" i="10"/>
  <c r="T145" i="10"/>
  <c r="U145" i="10" s="1"/>
  <c r="Q145" i="10"/>
  <c r="T144" i="10"/>
  <c r="Q144" i="10"/>
  <c r="T143" i="10"/>
  <c r="Q143" i="10"/>
  <c r="T142" i="10"/>
  <c r="Q142" i="10"/>
  <c r="T141" i="10"/>
  <c r="S141" i="10"/>
  <c r="Q141" i="10"/>
  <c r="T140" i="10"/>
  <c r="Q140" i="10"/>
  <c r="T139" i="10"/>
  <c r="Q139" i="10"/>
  <c r="T138" i="10"/>
  <c r="U138" i="10" s="1"/>
  <c r="Q138" i="10"/>
  <c r="P138" i="10"/>
  <c r="T137" i="10"/>
  <c r="U137" i="10" s="1"/>
  <c r="Q137" i="10"/>
  <c r="P137" i="10"/>
  <c r="T136" i="10"/>
  <c r="S136" i="10"/>
  <c r="Q136" i="10"/>
  <c r="P136" i="10"/>
  <c r="T135" i="10"/>
  <c r="Q135" i="10"/>
  <c r="T134" i="10"/>
  <c r="Q134" i="10"/>
  <c r="T133" i="10"/>
  <c r="Q133" i="10"/>
  <c r="T132" i="10"/>
  <c r="U132" i="10" s="1"/>
  <c r="Q132" i="10"/>
  <c r="T131" i="10"/>
  <c r="S131" i="10"/>
  <c r="Q131" i="10"/>
  <c r="P131" i="10"/>
  <c r="T130" i="10"/>
  <c r="S130" i="10"/>
  <c r="Q130" i="10"/>
  <c r="P130" i="10"/>
  <c r="T129" i="10"/>
  <c r="U129" i="10" s="1"/>
  <c r="Q129" i="10"/>
  <c r="P129" i="10"/>
  <c r="T128" i="10"/>
  <c r="U128" i="10" s="1"/>
  <c r="Q128" i="10"/>
  <c r="T127" i="10"/>
  <c r="Q127" i="10"/>
  <c r="T126" i="10"/>
  <c r="Q126" i="10"/>
  <c r="T125" i="10"/>
  <c r="S125" i="10"/>
  <c r="Q125" i="10"/>
  <c r="P125" i="10"/>
  <c r="T124" i="10"/>
  <c r="S124" i="10"/>
  <c r="Q124" i="10"/>
  <c r="P124" i="10"/>
  <c r="T123" i="10"/>
  <c r="U123" i="10" s="1"/>
  <c r="Q123" i="10"/>
  <c r="P123" i="10"/>
  <c r="T122" i="10"/>
  <c r="U122" i="10" s="1"/>
  <c r="Q122" i="10"/>
  <c r="P122" i="10"/>
  <c r="T121" i="10"/>
  <c r="Q121" i="10"/>
  <c r="T120" i="10"/>
  <c r="U120" i="10" s="1"/>
  <c r="Q120" i="10"/>
  <c r="T118" i="10"/>
  <c r="Q118" i="10"/>
  <c r="T117" i="10"/>
  <c r="U117" i="10" s="1"/>
  <c r="Q117" i="10"/>
  <c r="T116" i="10"/>
  <c r="U116" i="10" s="1"/>
  <c r="Q116" i="10"/>
  <c r="T115" i="10"/>
  <c r="S115" i="10"/>
  <c r="Q115" i="10"/>
  <c r="P115" i="10"/>
  <c r="T114" i="10"/>
  <c r="Q114" i="10"/>
  <c r="T113" i="10"/>
  <c r="Q113" i="10"/>
  <c r="T112" i="10"/>
  <c r="Q112" i="10"/>
  <c r="T111" i="10"/>
  <c r="Q111" i="10"/>
  <c r="T110" i="10"/>
  <c r="Q110" i="10"/>
  <c r="T109" i="10"/>
  <c r="U109" i="10" s="1"/>
  <c r="Q109" i="10"/>
  <c r="T108" i="10"/>
  <c r="Q108" i="10"/>
  <c r="T107" i="10"/>
  <c r="U107" i="10" s="1"/>
  <c r="Q107" i="10"/>
  <c r="P107" i="10"/>
  <c r="T106" i="10"/>
  <c r="U106" i="10" s="1"/>
  <c r="Q106" i="10"/>
  <c r="P106" i="10"/>
  <c r="T105" i="10"/>
  <c r="U105" i="10" s="1"/>
  <c r="Q105" i="10"/>
  <c r="T104" i="10"/>
  <c r="U104" i="10" s="1"/>
  <c r="Q104" i="10"/>
  <c r="T103" i="10"/>
  <c r="U103" i="10" s="1"/>
  <c r="Q103" i="10"/>
  <c r="T102" i="10"/>
  <c r="Q102" i="10"/>
  <c r="T101" i="10"/>
  <c r="Q101" i="10"/>
  <c r="T100" i="10"/>
  <c r="U100" i="10" s="1"/>
  <c r="Q100" i="10"/>
  <c r="P100" i="10"/>
  <c r="T99" i="10"/>
  <c r="Q99" i="10"/>
  <c r="T98" i="10"/>
  <c r="Q98" i="10"/>
  <c r="T97" i="10"/>
  <c r="Q97" i="10"/>
  <c r="T96" i="10"/>
  <c r="Q96" i="10"/>
  <c r="T95" i="10"/>
  <c r="Q95" i="10"/>
  <c r="T94" i="10"/>
  <c r="S94" i="10"/>
  <c r="Q94" i="10"/>
  <c r="T93" i="10"/>
  <c r="S93" i="10"/>
  <c r="Q93" i="10"/>
  <c r="P93" i="10"/>
  <c r="T92" i="10"/>
  <c r="Q92" i="10"/>
  <c r="T91" i="10"/>
  <c r="Q91" i="10"/>
  <c r="T90" i="10"/>
  <c r="Q90" i="10"/>
  <c r="T185" i="10"/>
  <c r="Q185" i="10"/>
  <c r="R185" i="10" s="1"/>
  <c r="T186" i="10"/>
  <c r="Q186" i="10"/>
  <c r="T89" i="10"/>
  <c r="U89" i="10" s="1"/>
  <c r="Q89" i="10"/>
  <c r="P89" i="10"/>
  <c r="T88" i="10"/>
  <c r="U88" i="10" s="1"/>
  <c r="Q88" i="10"/>
  <c r="P88" i="10"/>
  <c r="T87" i="10"/>
  <c r="U87" i="10" s="1"/>
  <c r="Q87" i="10"/>
  <c r="P87" i="10"/>
  <c r="T86" i="10"/>
  <c r="U86" i="10" s="1"/>
  <c r="Q86" i="10"/>
  <c r="P86" i="10"/>
  <c r="T85" i="10"/>
  <c r="U85" i="10" s="1"/>
  <c r="Q85" i="10"/>
  <c r="P85" i="10"/>
  <c r="T84" i="10"/>
  <c r="U84" i="10" s="1"/>
  <c r="Q84" i="10"/>
  <c r="P84" i="10"/>
  <c r="T83" i="10"/>
  <c r="U83" i="10" s="1"/>
  <c r="Q83" i="10"/>
  <c r="P83" i="10"/>
  <c r="T82" i="10"/>
  <c r="S82" i="10"/>
  <c r="Q82" i="10"/>
  <c r="P82" i="10"/>
  <c r="T81" i="10"/>
  <c r="Q81" i="10"/>
  <c r="T80" i="10"/>
  <c r="S80" i="10"/>
  <c r="Q80" i="10"/>
  <c r="P80" i="10"/>
  <c r="T184" i="10"/>
  <c r="Q184" i="10"/>
  <c r="T79" i="10"/>
  <c r="Q79" i="10"/>
  <c r="T78" i="10"/>
  <c r="Q78" i="10"/>
  <c r="T76" i="10"/>
  <c r="Q76" i="10"/>
  <c r="T75" i="10"/>
  <c r="Q75" i="10"/>
  <c r="T74" i="10"/>
  <c r="U74" i="10" s="1"/>
  <c r="Q74" i="10"/>
  <c r="P74" i="10"/>
  <c r="T73" i="10"/>
  <c r="Q73" i="10"/>
  <c r="T72" i="10"/>
  <c r="Q72" i="10"/>
  <c r="T71" i="10"/>
  <c r="Q71" i="10"/>
  <c r="T70" i="10"/>
  <c r="Q70" i="10"/>
  <c r="T69" i="10"/>
  <c r="U69" i="10" s="1"/>
  <c r="Q69" i="10"/>
  <c r="T183" i="10"/>
  <c r="Q183" i="10"/>
  <c r="T68" i="10"/>
  <c r="Q68" i="10"/>
  <c r="T67" i="10"/>
  <c r="Q67" i="10"/>
  <c r="T66" i="10"/>
  <c r="U66" i="10" s="1"/>
  <c r="Q66" i="10"/>
  <c r="T65" i="10"/>
  <c r="S65" i="10"/>
  <c r="Q65" i="10"/>
  <c r="P65" i="10"/>
  <c r="T64" i="10"/>
  <c r="U64" i="10" s="1"/>
  <c r="Q64" i="10"/>
  <c r="P64" i="10"/>
  <c r="T63" i="10"/>
  <c r="Q63" i="10"/>
  <c r="T62" i="10"/>
  <c r="Q62" i="10"/>
  <c r="T61" i="10"/>
  <c r="Q61" i="10"/>
  <c r="T60" i="10"/>
  <c r="Q60" i="10"/>
  <c r="T59" i="10"/>
  <c r="U59" i="10" s="1"/>
  <c r="Q59" i="10"/>
  <c r="T58" i="10"/>
  <c r="U58" i="10" s="1"/>
  <c r="Q58" i="10"/>
  <c r="T57" i="10"/>
  <c r="U57" i="10" s="1"/>
  <c r="Q57" i="10"/>
  <c r="T56" i="10"/>
  <c r="Q56" i="10"/>
  <c r="T55" i="10"/>
  <c r="Q55" i="10"/>
  <c r="T54" i="10"/>
  <c r="U54" i="10" s="1"/>
  <c r="Q54" i="10"/>
  <c r="T53" i="10"/>
  <c r="Q53" i="10"/>
  <c r="T52" i="10"/>
  <c r="U52" i="10" s="1"/>
  <c r="Q52" i="10"/>
  <c r="T51" i="10"/>
  <c r="S51" i="10"/>
  <c r="Q51" i="10"/>
  <c r="P51" i="10"/>
  <c r="T50" i="10"/>
  <c r="Q50" i="10"/>
  <c r="T49" i="10"/>
  <c r="U49" i="10" s="1"/>
  <c r="Q49" i="10"/>
  <c r="T48" i="10"/>
  <c r="Q48" i="10"/>
  <c r="T47" i="10"/>
  <c r="U47" i="10" s="1"/>
  <c r="Q47" i="10"/>
  <c r="T46" i="10"/>
  <c r="S46" i="10"/>
  <c r="Q46" i="10"/>
  <c r="P46" i="10"/>
  <c r="T45" i="10"/>
  <c r="U45" i="10" s="1"/>
  <c r="Q45" i="10"/>
  <c r="P45" i="10"/>
  <c r="T44" i="10"/>
  <c r="S44" i="10"/>
  <c r="Q44" i="10"/>
  <c r="P44" i="10"/>
  <c r="T43" i="10"/>
  <c r="S43" i="10"/>
  <c r="Q43" i="10"/>
  <c r="P43" i="10"/>
  <c r="T42" i="10"/>
  <c r="U42" i="10" s="1"/>
  <c r="Q42" i="10"/>
  <c r="T41" i="10"/>
  <c r="Q41" i="10"/>
  <c r="T39" i="10"/>
  <c r="U39" i="10" s="1"/>
  <c r="Q39" i="10"/>
  <c r="T38" i="10"/>
  <c r="Q38" i="10"/>
  <c r="T37" i="10"/>
  <c r="Q37" i="10"/>
  <c r="T36" i="10"/>
  <c r="U36" i="10" s="1"/>
  <c r="Q36" i="10"/>
  <c r="P36" i="10"/>
  <c r="T35" i="10"/>
  <c r="U35" i="10" s="1"/>
  <c r="Q35" i="10"/>
  <c r="P35" i="10"/>
  <c r="T34" i="10"/>
  <c r="Q34" i="10"/>
  <c r="T33" i="10"/>
  <c r="U33" i="10" s="1"/>
  <c r="Q33" i="10"/>
  <c r="T32" i="10"/>
  <c r="S32" i="10"/>
  <c r="Q32" i="10"/>
  <c r="P32" i="10"/>
  <c r="T31" i="10"/>
  <c r="U31" i="10" s="1"/>
  <c r="Q31" i="10"/>
  <c r="P31" i="10"/>
  <c r="T30" i="10"/>
  <c r="U30" i="10" s="1"/>
  <c r="Q30" i="10"/>
  <c r="P30" i="10"/>
  <c r="T29" i="10"/>
  <c r="U29" i="10" s="1"/>
  <c r="Q29" i="10"/>
  <c r="P29" i="10"/>
  <c r="T28" i="10"/>
  <c r="U28" i="10" s="1"/>
  <c r="Q28" i="10"/>
  <c r="P28" i="10"/>
  <c r="T27" i="10"/>
  <c r="U27" i="10" s="1"/>
  <c r="Q27" i="10"/>
  <c r="P27" i="10"/>
  <c r="T26" i="10"/>
  <c r="U26" i="10" s="1"/>
  <c r="Q26" i="10"/>
  <c r="P26" i="10"/>
  <c r="S25" i="10"/>
  <c r="P25" i="10"/>
  <c r="T24" i="10"/>
  <c r="S24" i="10"/>
  <c r="Q24" i="10"/>
  <c r="P24" i="10"/>
  <c r="T23" i="10"/>
  <c r="U23" i="10" s="1"/>
  <c r="Q23" i="10"/>
  <c r="P23" i="10"/>
  <c r="T22" i="10"/>
  <c r="U22" i="10" s="1"/>
  <c r="Q22" i="10"/>
  <c r="T21" i="10"/>
  <c r="Q21" i="10"/>
  <c r="T20" i="10"/>
  <c r="Q20" i="10"/>
  <c r="T19" i="10"/>
  <c r="U19" i="10" s="1"/>
  <c r="Q19" i="10"/>
  <c r="T18" i="10"/>
  <c r="U18" i="10" s="1"/>
  <c r="Q18" i="10"/>
  <c r="P18" i="10"/>
  <c r="T17" i="10"/>
  <c r="U17" i="10" s="1"/>
  <c r="Q17" i="10"/>
  <c r="P17" i="10"/>
  <c r="T16" i="10"/>
  <c r="Q16" i="10"/>
  <c r="T15" i="10"/>
  <c r="Q15" i="10"/>
  <c r="T14" i="10"/>
  <c r="Q14" i="10"/>
  <c r="T13" i="10"/>
  <c r="U13" i="10" s="1"/>
  <c r="Q13" i="10"/>
  <c r="P13" i="10"/>
  <c r="T12" i="10"/>
  <c r="U12" i="10" s="1"/>
  <c r="Q12" i="10"/>
  <c r="S11" i="10"/>
  <c r="T11" i="10"/>
  <c r="Q11" i="10"/>
  <c r="P11" i="10"/>
  <c r="F174" i="4"/>
  <c r="N199" i="10"/>
  <c r="N198" i="10"/>
  <c r="N197" i="10"/>
  <c r="N196" i="10"/>
  <c r="N195" i="10"/>
  <c r="E179" i="10"/>
  <c r="M203" i="10"/>
  <c r="N177" i="10"/>
  <c r="N176" i="10"/>
  <c r="N175" i="10"/>
  <c r="N174" i="10"/>
  <c r="N173" i="10"/>
  <c r="N172" i="10"/>
  <c r="N171" i="10"/>
  <c r="N170" i="10"/>
  <c r="N169" i="10"/>
  <c r="N168" i="10"/>
  <c r="N167" i="10"/>
  <c r="N166" i="10"/>
  <c r="N165" i="10"/>
  <c r="N164" i="10"/>
  <c r="N163" i="10"/>
  <c r="N162" i="10"/>
  <c r="N161" i="10"/>
  <c r="N160" i="10"/>
  <c r="N159" i="10"/>
  <c r="N158" i="10"/>
  <c r="N157" i="10"/>
  <c r="N156" i="10"/>
  <c r="N155" i="10"/>
  <c r="N154" i="10"/>
  <c r="N153" i="10"/>
  <c r="N152" i="10"/>
  <c r="N151" i="10"/>
  <c r="N150" i="10"/>
  <c r="N149" i="10"/>
  <c r="N148" i="10"/>
  <c r="N147" i="10"/>
  <c r="N145" i="10"/>
  <c r="N144" i="10"/>
  <c r="N143" i="10"/>
  <c r="N142" i="10"/>
  <c r="N141" i="10"/>
  <c r="N140" i="10"/>
  <c r="N139" i="10"/>
  <c r="N138" i="10"/>
  <c r="N137" i="10"/>
  <c r="N136" i="10"/>
  <c r="N135" i="10"/>
  <c r="N134" i="10"/>
  <c r="N133" i="10"/>
  <c r="N132" i="10"/>
  <c r="N131" i="10"/>
  <c r="N130" i="10"/>
  <c r="N129" i="10"/>
  <c r="N128" i="10"/>
  <c r="N127" i="10"/>
  <c r="N126" i="10"/>
  <c r="N125" i="10"/>
  <c r="N124" i="10"/>
  <c r="N123" i="10"/>
  <c r="N122" i="10"/>
  <c r="N121" i="10"/>
  <c r="N120" i="10"/>
  <c r="N119" i="10"/>
  <c r="N118" i="10"/>
  <c r="N117" i="10"/>
  <c r="N116" i="10"/>
  <c r="N115" i="10"/>
  <c r="N114" i="10"/>
  <c r="N113" i="10"/>
  <c r="N112" i="10"/>
  <c r="N111" i="10"/>
  <c r="N110" i="10"/>
  <c r="N109" i="10"/>
  <c r="N108" i="10"/>
  <c r="N107" i="10"/>
  <c r="N106" i="10"/>
  <c r="N105" i="10"/>
  <c r="N104" i="10"/>
  <c r="N103" i="10"/>
  <c r="N102" i="10"/>
  <c r="N101" i="10"/>
  <c r="N100" i="10"/>
  <c r="N99" i="10"/>
  <c r="N98" i="10"/>
  <c r="N97" i="10"/>
  <c r="N96" i="10"/>
  <c r="N95" i="10"/>
  <c r="N94" i="10"/>
  <c r="N93" i="10"/>
  <c r="N92" i="10"/>
  <c r="N91" i="10"/>
  <c r="N90" i="10"/>
  <c r="N185" i="10"/>
  <c r="N186" i="10"/>
  <c r="N89" i="10"/>
  <c r="N88" i="10"/>
  <c r="N87" i="10"/>
  <c r="N86" i="10"/>
  <c r="N85" i="10"/>
  <c r="N84" i="10"/>
  <c r="N83" i="10"/>
  <c r="N82" i="10"/>
  <c r="N81" i="10"/>
  <c r="N80" i="10"/>
  <c r="N184" i="10"/>
  <c r="N79" i="10"/>
  <c r="N78" i="10"/>
  <c r="N77" i="10"/>
  <c r="N76" i="10"/>
  <c r="N75" i="10"/>
  <c r="N74" i="10"/>
  <c r="N73" i="10"/>
  <c r="N72" i="10"/>
  <c r="N71" i="10"/>
  <c r="N70" i="10"/>
  <c r="N69" i="10"/>
  <c r="N183" i="10"/>
  <c r="N68" i="10"/>
  <c r="N67" i="10"/>
  <c r="N66" i="10"/>
  <c r="N65" i="10"/>
  <c r="N64" i="10"/>
  <c r="N63" i="10"/>
  <c r="N62" i="10"/>
  <c r="N61" i="10"/>
  <c r="N60" i="10"/>
  <c r="N59" i="10"/>
  <c r="N58" i="10"/>
  <c r="N57" i="10"/>
  <c r="N56" i="10"/>
  <c r="N55" i="10"/>
  <c r="N54" i="10"/>
  <c r="N53" i="10"/>
  <c r="N52" i="10"/>
  <c r="N51" i="10"/>
  <c r="N50" i="10"/>
  <c r="N49" i="10"/>
  <c r="N48" i="10"/>
  <c r="N47" i="10"/>
  <c r="N46" i="10"/>
  <c r="N45" i="10"/>
  <c r="N44" i="10"/>
  <c r="N39" i="10"/>
  <c r="N43" i="10"/>
  <c r="N42" i="10"/>
  <c r="N41" i="10"/>
  <c r="N38" i="10"/>
  <c r="N37" i="10"/>
  <c r="N36" i="10"/>
  <c r="N35" i="10"/>
  <c r="N34" i="10"/>
  <c r="N33" i="10"/>
  <c r="N32" i="10"/>
  <c r="N31" i="10"/>
  <c r="N30" i="10"/>
  <c r="N29" i="10"/>
  <c r="N28" i="10"/>
  <c r="N27" i="10"/>
  <c r="N26" i="10"/>
  <c r="N25" i="10"/>
  <c r="N24" i="10"/>
  <c r="N23" i="10"/>
  <c r="N22" i="10"/>
  <c r="N21" i="10"/>
  <c r="N20" i="10"/>
  <c r="N19" i="10"/>
  <c r="N18" i="10"/>
  <c r="N17" i="10"/>
  <c r="N16" i="10"/>
  <c r="N15" i="10"/>
  <c r="N14" i="10"/>
  <c r="N13" i="10"/>
  <c r="N12" i="10"/>
  <c r="N11" i="10"/>
  <c r="U161" i="10" l="1"/>
  <c r="Q25" i="10"/>
  <c r="Q179" i="10" s="1"/>
  <c r="AU19" i="4"/>
  <c r="AV19" i="4" s="1"/>
  <c r="R19" i="4"/>
  <c r="U44" i="10"/>
  <c r="Q179" i="4"/>
  <c r="S19" i="4"/>
  <c r="U68" i="10"/>
  <c r="U32" i="10"/>
  <c r="U43" i="10"/>
  <c r="U124" i="10"/>
  <c r="U115" i="10"/>
  <c r="U125" i="10"/>
  <c r="U67" i="10"/>
  <c r="U98" i="10"/>
  <c r="U113" i="10"/>
  <c r="U135" i="10"/>
  <c r="U156" i="10"/>
  <c r="U94" i="10"/>
  <c r="U131" i="10"/>
  <c r="U65" i="10"/>
  <c r="U21" i="10"/>
  <c r="U70" i="10"/>
  <c r="U99" i="10"/>
  <c r="U114" i="10"/>
  <c r="U139" i="10"/>
  <c r="U157" i="10"/>
  <c r="U24" i="10"/>
  <c r="U80" i="10"/>
  <c r="U130" i="10"/>
  <c r="U136" i="10"/>
  <c r="Q191" i="10"/>
  <c r="T191" i="10"/>
  <c r="U164" i="10"/>
  <c r="U141" i="10"/>
  <c r="U160" i="10"/>
  <c r="U55" i="10"/>
  <c r="U90" i="10"/>
  <c r="U118" i="10"/>
  <c r="U159" i="10"/>
  <c r="U50" i="10"/>
  <c r="U20" i="10"/>
  <c r="U81" i="10"/>
  <c r="U71" i="10"/>
  <c r="U140" i="10"/>
  <c r="U51" i="10"/>
  <c r="U82" i="10"/>
  <c r="U37" i="10"/>
  <c r="U56" i="10"/>
  <c r="U72" i="10"/>
  <c r="U91" i="10"/>
  <c r="U102" i="10"/>
  <c r="U121" i="10"/>
  <c r="U142" i="10"/>
  <c r="U163" i="10"/>
  <c r="U79" i="10"/>
  <c r="U101" i="10"/>
  <c r="U38" i="10"/>
  <c r="U60" i="10"/>
  <c r="U73" i="10"/>
  <c r="U92" i="10"/>
  <c r="U108" i="10"/>
  <c r="U126" i="10"/>
  <c r="U143" i="10"/>
  <c r="U14" i="10"/>
  <c r="U61" i="10"/>
  <c r="U75" i="10"/>
  <c r="U95" i="10"/>
  <c r="U110" i="10"/>
  <c r="U127" i="10"/>
  <c r="U144" i="10"/>
  <c r="U53" i="10"/>
  <c r="U34" i="10"/>
  <c r="U25" i="10"/>
  <c r="U93" i="10"/>
  <c r="U15" i="10"/>
  <c r="U41" i="10"/>
  <c r="U62" i="10"/>
  <c r="U76" i="10"/>
  <c r="U96" i="10"/>
  <c r="U111" i="10"/>
  <c r="U133" i="10"/>
  <c r="U150" i="10"/>
  <c r="U46" i="10"/>
  <c r="U16" i="10"/>
  <c r="U48" i="10"/>
  <c r="U63" i="10"/>
  <c r="U78" i="10"/>
  <c r="U97" i="10"/>
  <c r="U112" i="10"/>
  <c r="U134" i="10"/>
  <c r="U152" i="10"/>
  <c r="P179" i="4"/>
  <c r="P207" i="10" s="1"/>
  <c r="P209" i="10" s="1"/>
  <c r="T179" i="10"/>
  <c r="R58" i="10"/>
  <c r="S179" i="10"/>
  <c r="P179" i="10"/>
  <c r="P181" i="10" s="1"/>
  <c r="R75" i="10"/>
  <c r="R91" i="10"/>
  <c r="R47" i="10"/>
  <c r="R67" i="10"/>
  <c r="R21" i="10"/>
  <c r="R78" i="10"/>
  <c r="R151" i="10"/>
  <c r="R112" i="10"/>
  <c r="R159" i="10"/>
  <c r="F189" i="10"/>
  <c r="F203" i="10" s="1"/>
  <c r="F205" i="10" s="1"/>
  <c r="G189" i="10"/>
  <c r="G203" i="10" s="1"/>
  <c r="G205" i="10" s="1"/>
  <c r="R99" i="10"/>
  <c r="R121" i="10"/>
  <c r="R153" i="10"/>
  <c r="R49" i="10"/>
  <c r="E189" i="10"/>
  <c r="E203" i="10" s="1"/>
  <c r="E205" i="10" s="1"/>
  <c r="R76" i="10"/>
  <c r="R128" i="10"/>
  <c r="R41" i="10"/>
  <c r="R55" i="10"/>
  <c r="R103" i="10"/>
  <c r="R143" i="10"/>
  <c r="R101" i="10"/>
  <c r="R113" i="10"/>
  <c r="R34" i="10"/>
  <c r="R115" i="10"/>
  <c r="R150" i="10"/>
  <c r="R54" i="10"/>
  <c r="R56" i="10"/>
  <c r="R90" i="10"/>
  <c r="R109" i="10"/>
  <c r="R62" i="10"/>
  <c r="R168" i="10"/>
  <c r="R72" i="10"/>
  <c r="R119" i="10"/>
  <c r="R53" i="10"/>
  <c r="R147" i="10"/>
  <c r="R12" i="10"/>
  <c r="R68" i="10"/>
  <c r="U183" i="10"/>
  <c r="R19" i="10"/>
  <c r="R63" i="10"/>
  <c r="R111" i="10"/>
  <c r="R135" i="10"/>
  <c r="R157" i="10"/>
  <c r="R35" i="10"/>
  <c r="R64" i="10"/>
  <c r="U184" i="10"/>
  <c r="R15" i="10"/>
  <c r="R71" i="10"/>
  <c r="R96" i="10"/>
  <c r="R36" i="10"/>
  <c r="R74" i="10"/>
  <c r="R38" i="10"/>
  <c r="R52" i="10"/>
  <c r="R133" i="10"/>
  <c r="R155" i="10"/>
  <c r="R167" i="10"/>
  <c r="R61" i="10"/>
  <c r="R118" i="10"/>
  <c r="R184" i="10"/>
  <c r="R33" i="10"/>
  <c r="R173" i="10"/>
  <c r="R57" i="10"/>
  <c r="R183" i="10"/>
  <c r="R114" i="10"/>
  <c r="R48" i="10"/>
  <c r="R127" i="10"/>
  <c r="R77" i="10"/>
  <c r="R163" i="10"/>
  <c r="R175" i="10"/>
  <c r="R139" i="10"/>
  <c r="R107" i="10"/>
  <c r="R122" i="10"/>
  <c r="R51" i="10"/>
  <c r="R123" i="10"/>
  <c r="R65" i="10"/>
  <c r="R100" i="10"/>
  <c r="R169" i="10"/>
  <c r="R129" i="10"/>
  <c r="R87" i="10"/>
  <c r="R89" i="10"/>
  <c r="R13" i="10"/>
  <c r="R161" i="10"/>
  <c r="R59" i="10"/>
  <c r="R88" i="10"/>
  <c r="R104" i="10"/>
  <c r="R106" i="10"/>
  <c r="R137" i="10"/>
  <c r="R171" i="10"/>
  <c r="R176" i="10"/>
  <c r="R22" i="10"/>
  <c r="R30" i="10"/>
  <c r="R45" i="10"/>
  <c r="R93" i="10"/>
  <c r="R154" i="10"/>
  <c r="R131" i="10"/>
  <c r="U185" i="10"/>
  <c r="R85" i="10"/>
  <c r="R14" i="10"/>
  <c r="R23" i="10"/>
  <c r="R25" i="10"/>
  <c r="R27" i="10"/>
  <c r="R29" i="10"/>
  <c r="R31" i="10"/>
  <c r="R141" i="10"/>
  <c r="R160" i="10"/>
  <c r="R37" i="10"/>
  <c r="R50" i="10"/>
  <c r="R60" i="10"/>
  <c r="R70" i="10"/>
  <c r="R79" i="10"/>
  <c r="R95" i="10"/>
  <c r="R108" i="10"/>
  <c r="R117" i="10"/>
  <c r="R144" i="10"/>
  <c r="R11" i="10"/>
  <c r="R17" i="10"/>
  <c r="R44" i="10"/>
  <c r="R83" i="10"/>
  <c r="R172" i="10"/>
  <c r="U11" i="10"/>
  <c r="R81" i="10"/>
  <c r="R28" i="10"/>
  <c r="R43" i="10"/>
  <c r="R82" i="10"/>
  <c r="R84" i="10"/>
  <c r="R136" i="10"/>
  <c r="R149" i="10"/>
  <c r="R105" i="10"/>
  <c r="R138" i="10"/>
  <c r="R20" i="10"/>
  <c r="R66" i="10"/>
  <c r="R86" i="10"/>
  <c r="R94" i="10"/>
  <c r="R116" i="10"/>
  <c r="R126" i="10"/>
  <c r="R148" i="10"/>
  <c r="R158" i="10"/>
  <c r="R32" i="10"/>
  <c r="R42" i="10"/>
  <c r="R69" i="10"/>
  <c r="R186" i="10"/>
  <c r="R98" i="10"/>
  <c r="R120" i="10"/>
  <c r="R130" i="10"/>
  <c r="R152" i="10"/>
  <c r="R162" i="10"/>
  <c r="R24" i="10"/>
  <c r="R26" i="10"/>
  <c r="R80" i="10"/>
  <c r="R110" i="10"/>
  <c r="R132" i="10"/>
  <c r="R142" i="10"/>
  <c r="R164" i="10"/>
  <c r="R174" i="10"/>
  <c r="R16" i="10"/>
  <c r="R18" i="10"/>
  <c r="R46" i="10"/>
  <c r="R73" i="10"/>
  <c r="U186" i="10"/>
  <c r="R92" i="10"/>
  <c r="R102" i="10"/>
  <c r="R124" i="10"/>
  <c r="R134" i="10"/>
  <c r="R156" i="10"/>
  <c r="R166" i="10"/>
  <c r="N179" i="10"/>
  <c r="N205" i="10" s="1"/>
  <c r="N203" i="10"/>
  <c r="U181" i="7"/>
  <c r="V181" i="7" s="1"/>
  <c r="U180" i="7"/>
  <c r="V180" i="7" s="1"/>
  <c r="U177" i="7"/>
  <c r="V177" i="7" s="1"/>
  <c r="U174" i="7"/>
  <c r="V174" i="7" s="1"/>
  <c r="U172" i="7"/>
  <c r="V172" i="7" s="1"/>
  <c r="U171" i="7"/>
  <c r="V171" i="7" s="1"/>
  <c r="U166" i="7"/>
  <c r="V166" i="7" s="1"/>
  <c r="U165" i="7"/>
  <c r="V165" i="7" s="1"/>
  <c r="U164" i="7"/>
  <c r="V164" i="7" s="1"/>
  <c r="U163" i="7"/>
  <c r="V163" i="7" s="1"/>
  <c r="U162" i="7"/>
  <c r="V162" i="7" s="1"/>
  <c r="U161" i="7"/>
  <c r="V161" i="7" s="1"/>
  <c r="U160" i="7"/>
  <c r="V160" i="7" s="1"/>
  <c r="U159" i="7"/>
  <c r="V159" i="7" s="1"/>
  <c r="U158" i="7"/>
  <c r="V158" i="7" s="1"/>
  <c r="U157" i="7"/>
  <c r="V157" i="7" s="1"/>
  <c r="U156" i="7"/>
  <c r="V156" i="7" s="1"/>
  <c r="U155" i="7"/>
  <c r="V155" i="7" s="1"/>
  <c r="U154" i="7"/>
  <c r="V154" i="7" s="1"/>
  <c r="U152" i="7"/>
  <c r="V152" i="7" s="1"/>
  <c r="U151" i="7"/>
  <c r="V151" i="7" s="1"/>
  <c r="U150" i="7"/>
  <c r="V150" i="7" s="1"/>
  <c r="U148" i="7"/>
  <c r="V148" i="7" s="1"/>
  <c r="U147" i="7"/>
  <c r="V147" i="7" s="1"/>
  <c r="U143" i="7"/>
  <c r="V143" i="7" s="1"/>
  <c r="U139" i="7"/>
  <c r="V139" i="7" s="1"/>
  <c r="U138" i="7"/>
  <c r="V138" i="7" s="1"/>
  <c r="U136" i="7"/>
  <c r="V136" i="7" s="1"/>
  <c r="U135" i="7"/>
  <c r="V135" i="7" s="1"/>
  <c r="U134" i="7"/>
  <c r="V134" i="7" s="1"/>
  <c r="U131" i="7"/>
  <c r="V131" i="7" s="1"/>
  <c r="U130" i="7"/>
  <c r="V130" i="7" s="1"/>
  <c r="U128" i="7"/>
  <c r="V128" i="7" s="1"/>
  <c r="U127" i="7"/>
  <c r="V127" i="7" s="1"/>
  <c r="U126" i="7"/>
  <c r="V126" i="7" s="1"/>
  <c r="U124" i="7"/>
  <c r="V124" i="7" s="1"/>
  <c r="U122" i="7"/>
  <c r="V122" i="7" s="1"/>
  <c r="U121" i="7"/>
  <c r="V121" i="7" s="1"/>
  <c r="U120" i="7"/>
  <c r="V120" i="7" s="1"/>
  <c r="U118" i="7"/>
  <c r="V118" i="7" s="1"/>
  <c r="U116" i="7"/>
  <c r="V116" i="7" s="1"/>
  <c r="U115" i="7"/>
  <c r="V115" i="7" s="1"/>
  <c r="U114" i="7"/>
  <c r="V114" i="7" s="1"/>
  <c r="U113" i="7"/>
  <c r="V113" i="7" s="1"/>
  <c r="U112" i="7"/>
  <c r="V112" i="7" s="1"/>
  <c r="U109" i="7"/>
  <c r="V109" i="7" s="1"/>
  <c r="U107" i="7"/>
  <c r="V107" i="7" s="1"/>
  <c r="U106" i="7"/>
  <c r="V106" i="7" s="1"/>
  <c r="U105" i="7"/>
  <c r="V105" i="7" s="1"/>
  <c r="U104" i="7"/>
  <c r="V104" i="7" s="1"/>
  <c r="U103" i="7"/>
  <c r="V103" i="7" s="1"/>
  <c r="U102" i="7"/>
  <c r="V102" i="7" s="1"/>
  <c r="U101" i="7"/>
  <c r="V101" i="7" s="1"/>
  <c r="U99" i="7"/>
  <c r="V99" i="7" s="1"/>
  <c r="U96" i="7"/>
  <c r="V96" i="7" s="1"/>
  <c r="U95" i="7"/>
  <c r="V95" i="7" s="1"/>
  <c r="U93" i="7"/>
  <c r="V93" i="7" s="1"/>
  <c r="U90" i="7"/>
  <c r="V90" i="7" s="1"/>
  <c r="U89" i="7"/>
  <c r="V89" i="7" s="1"/>
  <c r="U79" i="7"/>
  <c r="V79" i="7" s="1"/>
  <c r="U78" i="7"/>
  <c r="V78" i="7" s="1"/>
  <c r="U77" i="7"/>
  <c r="V77" i="7" s="1"/>
  <c r="U76" i="7"/>
  <c r="V76" i="7" s="1"/>
  <c r="U75" i="7"/>
  <c r="V75" i="7" s="1"/>
  <c r="U74" i="7"/>
  <c r="V74" i="7" s="1"/>
  <c r="U71" i="7"/>
  <c r="V71" i="7" s="1"/>
  <c r="U69" i="7"/>
  <c r="V69" i="7" s="1"/>
  <c r="U68" i="7"/>
  <c r="V68" i="7" s="1"/>
  <c r="U67" i="7"/>
  <c r="V67" i="7" s="1"/>
  <c r="U66" i="7"/>
  <c r="V66" i="7" s="1"/>
  <c r="U65" i="7"/>
  <c r="V65" i="7" s="1"/>
  <c r="U194" i="7"/>
  <c r="V194" i="7" s="1"/>
  <c r="U64" i="7"/>
  <c r="V64" i="7" s="1"/>
  <c r="U63" i="7"/>
  <c r="V63" i="7" s="1"/>
  <c r="U62" i="7"/>
  <c r="V62" i="7" s="1"/>
  <c r="U61" i="7"/>
  <c r="V61" i="7" s="1"/>
  <c r="U60" i="7"/>
  <c r="V60" i="7" s="1"/>
  <c r="U59" i="7"/>
  <c r="V59" i="7" s="1"/>
  <c r="U57" i="7"/>
  <c r="V57" i="7" s="1"/>
  <c r="U56" i="7"/>
  <c r="V56" i="7" s="1"/>
  <c r="U55" i="7"/>
  <c r="V55" i="7" s="1"/>
  <c r="U54" i="7"/>
  <c r="V54" i="7" s="1"/>
  <c r="U49" i="7"/>
  <c r="V49" i="7" s="1"/>
  <c r="U45" i="7"/>
  <c r="V45" i="7" s="1"/>
  <c r="U44" i="7"/>
  <c r="V44" i="7" s="1"/>
  <c r="U43" i="7"/>
  <c r="V43" i="7" s="1"/>
  <c r="U42" i="7"/>
  <c r="V42" i="7" s="1"/>
  <c r="U41" i="7"/>
  <c r="V41" i="7" s="1"/>
  <c r="U40" i="7"/>
  <c r="V40" i="7" s="1"/>
  <c r="U39" i="7"/>
  <c r="V39" i="7" s="1"/>
  <c r="U38" i="7"/>
  <c r="V38" i="7" s="1"/>
  <c r="U37" i="7"/>
  <c r="V37" i="7" s="1"/>
  <c r="U32" i="7"/>
  <c r="V32" i="7" s="1"/>
  <c r="U29" i="7"/>
  <c r="V29" i="7" s="1"/>
  <c r="U28" i="7"/>
  <c r="V28" i="7" s="1"/>
  <c r="U17" i="7"/>
  <c r="V17" i="7" s="1"/>
  <c r="U16" i="7"/>
  <c r="V16" i="7" s="1"/>
  <c r="U15" i="7"/>
  <c r="V15" i="7" s="1"/>
  <c r="U14" i="7"/>
  <c r="V14" i="7" s="1"/>
  <c r="U12" i="7"/>
  <c r="V12" i="7" s="1"/>
  <c r="U11" i="7"/>
  <c r="V11" i="7" s="1"/>
  <c r="U179" i="7"/>
  <c r="V179" i="7" s="1"/>
  <c r="U178" i="7"/>
  <c r="V178" i="7" s="1"/>
  <c r="U176" i="7"/>
  <c r="V176" i="7" s="1"/>
  <c r="U175" i="7"/>
  <c r="V175" i="7" s="1"/>
  <c r="U173" i="7"/>
  <c r="V173" i="7" s="1"/>
  <c r="U170" i="7"/>
  <c r="V170" i="7" s="1"/>
  <c r="U169" i="7"/>
  <c r="V169" i="7" s="1"/>
  <c r="U168" i="7"/>
  <c r="V168" i="7" s="1"/>
  <c r="U167" i="7"/>
  <c r="V167" i="7" s="1"/>
  <c r="U153" i="7"/>
  <c r="V153" i="7" s="1"/>
  <c r="U149" i="7"/>
  <c r="V149" i="7" s="1"/>
  <c r="U146" i="7"/>
  <c r="V146" i="7" s="1"/>
  <c r="U145" i="7"/>
  <c r="V145" i="7" s="1"/>
  <c r="U144" i="7"/>
  <c r="V144" i="7" s="1"/>
  <c r="U142" i="7"/>
  <c r="V142" i="7" s="1"/>
  <c r="U141" i="7"/>
  <c r="V141" i="7" s="1"/>
  <c r="U140" i="7"/>
  <c r="V140" i="7" s="1"/>
  <c r="U137" i="7"/>
  <c r="V137" i="7" s="1"/>
  <c r="U133" i="7"/>
  <c r="V133" i="7" s="1"/>
  <c r="U132" i="7"/>
  <c r="V132" i="7" s="1"/>
  <c r="U129" i="7"/>
  <c r="V129" i="7" s="1"/>
  <c r="U125" i="7"/>
  <c r="V125" i="7" s="1"/>
  <c r="U123" i="7"/>
  <c r="V123" i="7" s="1"/>
  <c r="U119" i="7"/>
  <c r="V119" i="7" s="1"/>
  <c r="U117" i="7"/>
  <c r="V117" i="7" s="1"/>
  <c r="U111" i="7"/>
  <c r="V111" i="7" s="1"/>
  <c r="U110" i="7"/>
  <c r="V110" i="7" s="1"/>
  <c r="U108" i="7"/>
  <c r="V108" i="7" s="1"/>
  <c r="U100" i="7"/>
  <c r="V100" i="7" s="1"/>
  <c r="U98" i="7"/>
  <c r="V98" i="7" s="1"/>
  <c r="U97" i="7"/>
  <c r="V97" i="7" s="1"/>
  <c r="U94" i="7"/>
  <c r="V94" i="7" s="1"/>
  <c r="U92" i="7"/>
  <c r="V92" i="7" s="1"/>
  <c r="U91" i="7"/>
  <c r="V91" i="7" s="1"/>
  <c r="U88" i="7"/>
  <c r="V88" i="7" s="1"/>
  <c r="U87" i="7"/>
  <c r="V87" i="7" s="1"/>
  <c r="U86" i="7"/>
  <c r="V86" i="7" s="1"/>
  <c r="U85" i="7"/>
  <c r="V85" i="7" s="1"/>
  <c r="U84" i="7"/>
  <c r="V84" i="7" s="1"/>
  <c r="U83" i="7"/>
  <c r="V83" i="7" s="1"/>
  <c r="U82" i="7"/>
  <c r="V82" i="7" s="1"/>
  <c r="U81" i="7"/>
  <c r="V81" i="7" s="1"/>
  <c r="U80" i="7"/>
  <c r="V80" i="7" s="1"/>
  <c r="U73" i="7"/>
  <c r="V73" i="7" s="1"/>
  <c r="U72" i="7"/>
  <c r="V72" i="7" s="1"/>
  <c r="U70" i="7"/>
  <c r="V70" i="7" s="1"/>
  <c r="U58" i="7"/>
  <c r="V58" i="7" s="1"/>
  <c r="U53" i="7"/>
  <c r="V53" i="7" s="1"/>
  <c r="U52" i="7"/>
  <c r="V52" i="7" s="1"/>
  <c r="U51" i="7"/>
  <c r="V51" i="7" s="1"/>
  <c r="U50" i="7"/>
  <c r="V50" i="7" s="1"/>
  <c r="U48" i="7"/>
  <c r="V48" i="7" s="1"/>
  <c r="U47" i="7"/>
  <c r="V47" i="7" s="1"/>
  <c r="U46" i="7"/>
  <c r="V46" i="7" s="1"/>
  <c r="U36" i="7"/>
  <c r="V36" i="7" s="1"/>
  <c r="U35" i="7"/>
  <c r="V35" i="7" s="1"/>
  <c r="U34" i="7"/>
  <c r="V34" i="7" s="1"/>
  <c r="U33" i="7"/>
  <c r="V33" i="7" s="1"/>
  <c r="U31" i="7"/>
  <c r="V31" i="7" s="1"/>
  <c r="U30" i="7"/>
  <c r="V30" i="7" s="1"/>
  <c r="U27" i="7"/>
  <c r="V27" i="7" s="1"/>
  <c r="U26" i="7"/>
  <c r="V26" i="7" s="1"/>
  <c r="U25" i="7"/>
  <c r="V25" i="7" s="1"/>
  <c r="U24" i="7"/>
  <c r="V24" i="7" s="1"/>
  <c r="U23" i="7"/>
  <c r="V23" i="7" s="1"/>
  <c r="U22" i="7"/>
  <c r="V22" i="7" s="1"/>
  <c r="U21" i="7"/>
  <c r="V21" i="7" s="1"/>
  <c r="U20" i="7"/>
  <c r="V20" i="7" s="1"/>
  <c r="U19" i="7"/>
  <c r="V19" i="7" s="1"/>
  <c r="U18" i="7"/>
  <c r="V18" i="7" s="1"/>
  <c r="U13" i="7"/>
  <c r="V13" i="7" s="1"/>
  <c r="U10" i="7"/>
  <c r="V10" i="7" s="1"/>
  <c r="U9" i="7"/>
  <c r="V9" i="7" s="1"/>
  <c r="U8" i="7"/>
  <c r="V8" i="7" s="1"/>
  <c r="U7" i="7"/>
  <c r="V7" i="7" s="1"/>
  <c r="U6" i="7"/>
  <c r="V6" i="7" s="1"/>
  <c r="U5" i="7"/>
  <c r="V5" i="7" s="1"/>
  <c r="U4" i="7"/>
  <c r="V4" i="7" s="1"/>
  <c r="U3" i="7"/>
  <c r="V3" i="7" s="1"/>
  <c r="P175" i="4"/>
  <c r="X36" i="4"/>
  <c r="W36" i="4"/>
  <c r="X142" i="4"/>
  <c r="W142" i="4"/>
  <c r="U191" i="10" l="1"/>
  <c r="S205" i="10"/>
  <c r="S181" i="10"/>
  <c r="U179" i="10"/>
  <c r="V183" i="7"/>
  <c r="X6" i="4" l="1"/>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7" i="4"/>
  <c r="X38" i="4"/>
  <c r="X39" i="4"/>
  <c r="X40" i="4"/>
  <c r="X41" i="4"/>
  <c r="X42"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92" i="4"/>
  <c r="X93" i="4"/>
  <c r="X94" i="4"/>
  <c r="X95" i="4"/>
  <c r="X96" i="4"/>
  <c r="X97" i="4"/>
  <c r="X98" i="4"/>
  <c r="X99" i="4"/>
  <c r="X100" i="4"/>
  <c r="X101" i="4"/>
  <c r="X102" i="4"/>
  <c r="X103" i="4"/>
  <c r="X104" i="4"/>
  <c r="X105" i="4"/>
  <c r="X106" i="4"/>
  <c r="X107" i="4"/>
  <c r="X108" i="4"/>
  <c r="X109" i="4"/>
  <c r="X110" i="4"/>
  <c r="X111" i="4"/>
  <c r="X112" i="4"/>
  <c r="X113" i="4"/>
  <c r="X114" i="4"/>
  <c r="X115" i="4"/>
  <c r="X116" i="4"/>
  <c r="X117" i="4"/>
  <c r="X118" i="4"/>
  <c r="X119" i="4"/>
  <c r="X120" i="4"/>
  <c r="X121" i="4"/>
  <c r="X122" i="4"/>
  <c r="X123" i="4"/>
  <c r="X124" i="4"/>
  <c r="X125" i="4"/>
  <c r="X126" i="4"/>
  <c r="X127" i="4"/>
  <c r="X128" i="4"/>
  <c r="X129" i="4"/>
  <c r="X130" i="4"/>
  <c r="X131" i="4"/>
  <c r="X132" i="4"/>
  <c r="X133" i="4"/>
  <c r="X134" i="4"/>
  <c r="X135" i="4"/>
  <c r="X136" i="4"/>
  <c r="X137" i="4"/>
  <c r="X138" i="4"/>
  <c r="X139" i="4"/>
  <c r="X140" i="4"/>
  <c r="X141" i="4"/>
  <c r="X143" i="4"/>
  <c r="X144" i="4"/>
  <c r="X145" i="4"/>
  <c r="X146" i="4"/>
  <c r="X147" i="4"/>
  <c r="X148" i="4"/>
  <c r="X149" i="4"/>
  <c r="X150" i="4"/>
  <c r="X151" i="4"/>
  <c r="X152" i="4"/>
  <c r="X153" i="4"/>
  <c r="X154" i="4"/>
  <c r="X155" i="4"/>
  <c r="X156" i="4"/>
  <c r="X157" i="4"/>
  <c r="X158" i="4"/>
  <c r="X159" i="4"/>
  <c r="X160" i="4"/>
  <c r="X161" i="4"/>
  <c r="X162" i="4"/>
  <c r="X163" i="4"/>
  <c r="X164" i="4"/>
  <c r="X165" i="4"/>
  <c r="X166" i="4"/>
  <c r="X167" i="4"/>
  <c r="X168" i="4"/>
  <c r="X169" i="4"/>
  <c r="X170" i="4"/>
  <c r="X171" i="4"/>
  <c r="X172" i="4"/>
  <c r="X173" i="4"/>
  <c r="X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7" i="4"/>
  <c r="W38" i="4"/>
  <c r="W39" i="4"/>
  <c r="W40" i="4"/>
  <c r="W41" i="4"/>
  <c r="W42" i="4"/>
  <c r="W43" i="4"/>
  <c r="W44" i="4"/>
  <c r="W45" i="4"/>
  <c r="W46" i="4"/>
  <c r="W47" i="4"/>
  <c r="W48" i="4"/>
  <c r="W49" i="4"/>
  <c r="W50" i="4"/>
  <c r="W51" i="4"/>
  <c r="W52" i="4"/>
  <c r="W53" i="4"/>
  <c r="W54" i="4"/>
  <c r="W55" i="4"/>
  <c r="W56" i="4"/>
  <c r="W57" i="4"/>
  <c r="W58" i="4"/>
  <c r="W59" i="4"/>
  <c r="W60" i="4"/>
  <c r="W61" i="4"/>
  <c r="W62" i="4"/>
  <c r="W63" i="4"/>
  <c r="W64" i="4"/>
  <c r="W65" i="4"/>
  <c r="W66" i="4"/>
  <c r="W67" i="4"/>
  <c r="W68" i="4"/>
  <c r="W69" i="4"/>
  <c r="W70" i="4"/>
  <c r="W71" i="4"/>
  <c r="W72" i="4"/>
  <c r="W73" i="4"/>
  <c r="W74" i="4"/>
  <c r="W75" i="4"/>
  <c r="W76" i="4"/>
  <c r="W77" i="4"/>
  <c r="W78" i="4"/>
  <c r="W79" i="4"/>
  <c r="W80" i="4"/>
  <c r="W81" i="4"/>
  <c r="W82" i="4"/>
  <c r="W83" i="4"/>
  <c r="W84" i="4"/>
  <c r="W85" i="4"/>
  <c r="W86" i="4"/>
  <c r="W87" i="4"/>
  <c r="W88" i="4"/>
  <c r="W89" i="4"/>
  <c r="W90" i="4"/>
  <c r="W91" i="4"/>
  <c r="W92" i="4"/>
  <c r="W93" i="4"/>
  <c r="W94" i="4"/>
  <c r="W95" i="4"/>
  <c r="W96" i="4"/>
  <c r="W97" i="4"/>
  <c r="W98" i="4"/>
  <c r="W99" i="4"/>
  <c r="W100" i="4"/>
  <c r="W101" i="4"/>
  <c r="W102" i="4"/>
  <c r="W103" i="4"/>
  <c r="W104" i="4"/>
  <c r="W105" i="4"/>
  <c r="W106" i="4"/>
  <c r="W107" i="4"/>
  <c r="W108" i="4"/>
  <c r="W109" i="4"/>
  <c r="W110" i="4"/>
  <c r="W111" i="4"/>
  <c r="W112" i="4"/>
  <c r="W113" i="4"/>
  <c r="W114" i="4"/>
  <c r="W115" i="4"/>
  <c r="W116" i="4"/>
  <c r="W117" i="4"/>
  <c r="W118" i="4"/>
  <c r="W119" i="4"/>
  <c r="W120" i="4"/>
  <c r="W121" i="4"/>
  <c r="W122" i="4"/>
  <c r="W123" i="4"/>
  <c r="W124" i="4"/>
  <c r="W125" i="4"/>
  <c r="W126" i="4"/>
  <c r="W127" i="4"/>
  <c r="W128" i="4"/>
  <c r="W129" i="4"/>
  <c r="W130" i="4"/>
  <c r="W131" i="4"/>
  <c r="W132" i="4"/>
  <c r="W133" i="4"/>
  <c r="W134" i="4"/>
  <c r="W135" i="4"/>
  <c r="W136" i="4"/>
  <c r="W137" i="4"/>
  <c r="W138" i="4"/>
  <c r="W139" i="4"/>
  <c r="W140" i="4"/>
  <c r="W141" i="4"/>
  <c r="W143" i="4"/>
  <c r="W144" i="4"/>
  <c r="W145" i="4"/>
  <c r="W146" i="4"/>
  <c r="W147" i="4"/>
  <c r="W148" i="4"/>
  <c r="W149" i="4"/>
  <c r="W150" i="4"/>
  <c r="W151" i="4"/>
  <c r="W152" i="4"/>
  <c r="W153" i="4"/>
  <c r="W154" i="4"/>
  <c r="W155" i="4"/>
  <c r="W156" i="4"/>
  <c r="W157" i="4"/>
  <c r="W158" i="4"/>
  <c r="W159" i="4"/>
  <c r="W160" i="4"/>
  <c r="W161" i="4"/>
  <c r="W162" i="4"/>
  <c r="W163" i="4"/>
  <c r="W164" i="4"/>
  <c r="W165" i="4"/>
  <c r="W166" i="4"/>
  <c r="W167" i="4"/>
  <c r="W168" i="4"/>
  <c r="W169" i="4"/>
  <c r="W170" i="4"/>
  <c r="W171" i="4"/>
  <c r="W172" i="4"/>
  <c r="W173" i="4"/>
  <c r="AB2" i="4"/>
  <c r="AA2" i="4"/>
  <c r="AK2" i="4"/>
  <c r="AK62" i="4" s="1"/>
  <c r="S85" i="4"/>
  <c r="AJ2" i="4"/>
  <c r="AJ8" i="4" l="1"/>
  <c r="AJ12" i="4"/>
  <c r="AJ16" i="4"/>
  <c r="AJ20" i="4"/>
  <c r="AJ24" i="4"/>
  <c r="AJ28" i="4"/>
  <c r="AJ32" i="4"/>
  <c r="AJ36" i="4"/>
  <c r="AJ40" i="4"/>
  <c r="AJ44" i="4"/>
  <c r="AJ48" i="4"/>
  <c r="AJ52" i="4"/>
  <c r="AJ56" i="4"/>
  <c r="AJ60" i="4"/>
  <c r="AJ64" i="4"/>
  <c r="AJ68" i="4"/>
  <c r="AJ72" i="4"/>
  <c r="AJ76" i="4"/>
  <c r="AJ80" i="4"/>
  <c r="AJ84" i="4"/>
  <c r="AJ89" i="4"/>
  <c r="AJ93" i="4"/>
  <c r="AJ97" i="4"/>
  <c r="AJ101" i="4"/>
  <c r="AJ105" i="4"/>
  <c r="AJ109" i="4"/>
  <c r="AJ113" i="4"/>
  <c r="AJ117" i="4"/>
  <c r="AJ121" i="4"/>
  <c r="AJ125" i="4"/>
  <c r="AJ129" i="4"/>
  <c r="AJ133" i="4"/>
  <c r="AJ137" i="4"/>
  <c r="AJ141" i="4"/>
  <c r="AJ145" i="4"/>
  <c r="AJ149" i="4"/>
  <c r="AJ153" i="4"/>
  <c r="AJ157" i="4"/>
  <c r="AJ161" i="4"/>
  <c r="AJ165" i="4"/>
  <c r="AJ169" i="4"/>
  <c r="AJ173" i="4"/>
  <c r="AJ6" i="4"/>
  <c r="AJ10" i="4"/>
  <c r="AJ14" i="4"/>
  <c r="AJ18" i="4"/>
  <c r="AJ22" i="4"/>
  <c r="AJ26" i="4"/>
  <c r="AJ30" i="4"/>
  <c r="AJ34" i="4"/>
  <c r="AJ9" i="4"/>
  <c r="AJ13" i="4"/>
  <c r="AJ17" i="4"/>
  <c r="AJ21" i="4"/>
  <c r="AJ25" i="4"/>
  <c r="AJ29" i="4"/>
  <c r="AJ33" i="4"/>
  <c r="AJ37" i="4"/>
  <c r="AJ41" i="4"/>
  <c r="AJ45" i="4"/>
  <c r="AJ49" i="4"/>
  <c r="AJ53" i="4"/>
  <c r="AJ57" i="4"/>
  <c r="AJ61" i="4"/>
  <c r="AJ65" i="4"/>
  <c r="AJ69" i="4"/>
  <c r="AJ73" i="4"/>
  <c r="AJ77" i="4"/>
  <c r="AJ81" i="4"/>
  <c r="AJ86" i="4"/>
  <c r="AJ90" i="4"/>
  <c r="AJ94" i="4"/>
  <c r="AJ98" i="4"/>
  <c r="AJ102" i="4"/>
  <c r="AJ106" i="4"/>
  <c r="AJ110" i="4"/>
  <c r="AJ114" i="4"/>
  <c r="AJ118" i="4"/>
  <c r="AJ122" i="4"/>
  <c r="AJ126" i="4"/>
  <c r="AJ130" i="4"/>
  <c r="AJ134" i="4"/>
  <c r="AJ138" i="4"/>
  <c r="AJ142" i="4"/>
  <c r="AJ146" i="4"/>
  <c r="AJ150" i="4"/>
  <c r="AJ154" i="4"/>
  <c r="AJ158" i="4"/>
  <c r="AJ162" i="4"/>
  <c r="AJ166" i="4"/>
  <c r="AJ170" i="4"/>
  <c r="AJ5" i="4"/>
  <c r="AJ19" i="4"/>
  <c r="AJ35" i="4"/>
  <c r="AJ43" i="4"/>
  <c r="AJ51" i="4"/>
  <c r="AJ59" i="4"/>
  <c r="AJ67" i="4"/>
  <c r="AJ75" i="4"/>
  <c r="AJ83" i="4"/>
  <c r="AJ92" i="4"/>
  <c r="AJ100" i="4"/>
  <c r="AJ108" i="4"/>
  <c r="AJ116" i="4"/>
  <c r="AJ124" i="4"/>
  <c r="AJ132" i="4"/>
  <c r="AJ140" i="4"/>
  <c r="AJ148" i="4"/>
  <c r="AJ156" i="4"/>
  <c r="AJ164" i="4"/>
  <c r="AJ172" i="4"/>
  <c r="AJ11" i="4"/>
  <c r="AJ39" i="4"/>
  <c r="AJ55" i="4"/>
  <c r="AJ79" i="4"/>
  <c r="AJ96" i="4"/>
  <c r="AJ104" i="4"/>
  <c r="AJ112" i="4"/>
  <c r="AJ128" i="4"/>
  <c r="AJ144" i="4"/>
  <c r="AJ160" i="4"/>
  <c r="AJ15" i="4"/>
  <c r="AJ42" i="4"/>
  <c r="AJ58" i="4"/>
  <c r="AJ74" i="4"/>
  <c r="AJ91" i="4"/>
  <c r="AJ107" i="4"/>
  <c r="AJ123" i="4"/>
  <c r="AJ139" i="4"/>
  <c r="AJ155" i="4"/>
  <c r="AJ171" i="4"/>
  <c r="AJ7" i="4"/>
  <c r="AJ23" i="4"/>
  <c r="AJ38" i="4"/>
  <c r="AJ46" i="4"/>
  <c r="AJ54" i="4"/>
  <c r="AJ62" i="4"/>
  <c r="AJ70" i="4"/>
  <c r="AJ78" i="4"/>
  <c r="AJ87" i="4"/>
  <c r="AJ95" i="4"/>
  <c r="AJ103" i="4"/>
  <c r="AJ111" i="4"/>
  <c r="AJ119" i="4"/>
  <c r="AJ127" i="4"/>
  <c r="AJ135" i="4"/>
  <c r="AJ143" i="4"/>
  <c r="AJ151" i="4"/>
  <c r="AJ159" i="4"/>
  <c r="AJ167" i="4"/>
  <c r="AJ27" i="4"/>
  <c r="AJ47" i="4"/>
  <c r="AJ63" i="4"/>
  <c r="AJ71" i="4"/>
  <c r="AJ88" i="4"/>
  <c r="AJ120" i="4"/>
  <c r="AJ136" i="4"/>
  <c r="AJ152" i="4"/>
  <c r="AJ168" i="4"/>
  <c r="AJ31" i="4"/>
  <c r="AJ50" i="4"/>
  <c r="AJ66" i="4"/>
  <c r="AJ82" i="4"/>
  <c r="AJ115" i="4"/>
  <c r="AJ131" i="4"/>
  <c r="AJ147" i="4"/>
  <c r="AJ163" i="4"/>
  <c r="AA7" i="4"/>
  <c r="AW7" i="4" s="1"/>
  <c r="AA11" i="4"/>
  <c r="AA15" i="4"/>
  <c r="AA19" i="4"/>
  <c r="AA23" i="4"/>
  <c r="AA27" i="4"/>
  <c r="AA31" i="4"/>
  <c r="AA35" i="4"/>
  <c r="AA39" i="4"/>
  <c r="AW39" i="4" s="1"/>
  <c r="AA43" i="4"/>
  <c r="AA47" i="4"/>
  <c r="AA51" i="4"/>
  <c r="AA55" i="4"/>
  <c r="AA59" i="4"/>
  <c r="AA63" i="4"/>
  <c r="AA67" i="4"/>
  <c r="AA71" i="4"/>
  <c r="AW71" i="4" s="1"/>
  <c r="AA75" i="4"/>
  <c r="AA79" i="4"/>
  <c r="AA83" i="4"/>
  <c r="AA88" i="4"/>
  <c r="AA8" i="4"/>
  <c r="AA12" i="4"/>
  <c r="AA16" i="4"/>
  <c r="AA20" i="4"/>
  <c r="AW20" i="4" s="1"/>
  <c r="AA24" i="4"/>
  <c r="AA28" i="4"/>
  <c r="AA32" i="4"/>
  <c r="AA36" i="4"/>
  <c r="AA40" i="4"/>
  <c r="AA44" i="4"/>
  <c r="AA48" i="4"/>
  <c r="AA52" i="4"/>
  <c r="AW52" i="4" s="1"/>
  <c r="AA56" i="4"/>
  <c r="AA60" i="4"/>
  <c r="AA64" i="4"/>
  <c r="AA68" i="4"/>
  <c r="AA72" i="4"/>
  <c r="AA76" i="4"/>
  <c r="AA80" i="4"/>
  <c r="AA84" i="4"/>
  <c r="AW84" i="4" s="1"/>
  <c r="AA89" i="4"/>
  <c r="AA93" i="4"/>
  <c r="AA97" i="4"/>
  <c r="AA101" i="4"/>
  <c r="AA9" i="4"/>
  <c r="AA17" i="4"/>
  <c r="AA25" i="4"/>
  <c r="AA33" i="4"/>
  <c r="AW33" i="4" s="1"/>
  <c r="AA41" i="4"/>
  <c r="AA49" i="4"/>
  <c r="AA57" i="4"/>
  <c r="AA65" i="4"/>
  <c r="AA73" i="4"/>
  <c r="AA81" i="4"/>
  <c r="AA90" i="4"/>
  <c r="AA95" i="4"/>
  <c r="AW95" i="4" s="1"/>
  <c r="AA100" i="4"/>
  <c r="AA105" i="4"/>
  <c r="AA109" i="4"/>
  <c r="AA113" i="4"/>
  <c r="AA117" i="4"/>
  <c r="AA121" i="4"/>
  <c r="AA125" i="4"/>
  <c r="AA129" i="4"/>
  <c r="AW129" i="4" s="1"/>
  <c r="AA133" i="4"/>
  <c r="AA137" i="4"/>
  <c r="AA141" i="4"/>
  <c r="AA145" i="4"/>
  <c r="AA149" i="4"/>
  <c r="AA153" i="4"/>
  <c r="AA157" i="4"/>
  <c r="AA161" i="4"/>
  <c r="AW161" i="4" s="1"/>
  <c r="AA165" i="4"/>
  <c r="AA169" i="4"/>
  <c r="AA173" i="4"/>
  <c r="AA13" i="4"/>
  <c r="AA21" i="4"/>
  <c r="AA29" i="4"/>
  <c r="AA37" i="4"/>
  <c r="AA45" i="4"/>
  <c r="AW45" i="4" s="1"/>
  <c r="AA53" i="4"/>
  <c r="AA61" i="4"/>
  <c r="AA69" i="4"/>
  <c r="AA77" i="4"/>
  <c r="AA86" i="4"/>
  <c r="AA92" i="4"/>
  <c r="AA98" i="4"/>
  <c r="AA103" i="4"/>
  <c r="AA107" i="4"/>
  <c r="AA111" i="4"/>
  <c r="AA115" i="4"/>
  <c r="AA119" i="4"/>
  <c r="AA123" i="4"/>
  <c r="AA127" i="4"/>
  <c r="AA131" i="4"/>
  <c r="AA135" i="4"/>
  <c r="AW135" i="4" s="1"/>
  <c r="AA139" i="4"/>
  <c r="AA143" i="4"/>
  <c r="AA147" i="4"/>
  <c r="AA151" i="4"/>
  <c r="AA155" i="4"/>
  <c r="AA159" i="4"/>
  <c r="AA163" i="4"/>
  <c r="AA167" i="4"/>
  <c r="AA171" i="4"/>
  <c r="AA10" i="4"/>
  <c r="AA18" i="4"/>
  <c r="AA26" i="4"/>
  <c r="AA34" i="4"/>
  <c r="AA42" i="4"/>
  <c r="AA50" i="4"/>
  <c r="AA58" i="4"/>
  <c r="AA66" i="4"/>
  <c r="AA74" i="4"/>
  <c r="AA82" i="4"/>
  <c r="AA91" i="4"/>
  <c r="AA96" i="4"/>
  <c r="AA102" i="4"/>
  <c r="AA106" i="4"/>
  <c r="AA110" i="4"/>
  <c r="AW110" i="4" s="1"/>
  <c r="AA114" i="4"/>
  <c r="AA118" i="4"/>
  <c r="AA122" i="4"/>
  <c r="AA126" i="4"/>
  <c r="AA130" i="4"/>
  <c r="AA134" i="4"/>
  <c r="AA138" i="4"/>
  <c r="AA142" i="4"/>
  <c r="AA146" i="4"/>
  <c r="AA150" i="4"/>
  <c r="AA154" i="4"/>
  <c r="AA158" i="4"/>
  <c r="AA162" i="4"/>
  <c r="AA166" i="4"/>
  <c r="AA170" i="4"/>
  <c r="AA5" i="4"/>
  <c r="AA6" i="4"/>
  <c r="AA38" i="4"/>
  <c r="AA70" i="4"/>
  <c r="AA116" i="4"/>
  <c r="AA132" i="4"/>
  <c r="AA148" i="4"/>
  <c r="AA164" i="4"/>
  <c r="AA22" i="4"/>
  <c r="AA87" i="4"/>
  <c r="AA124" i="4"/>
  <c r="AA156" i="4"/>
  <c r="AA62" i="4"/>
  <c r="AA112" i="4"/>
  <c r="AA144" i="4"/>
  <c r="AA14" i="4"/>
  <c r="AA46" i="4"/>
  <c r="AA78" i="4"/>
  <c r="AA104" i="4"/>
  <c r="AA120" i="4"/>
  <c r="AA136" i="4"/>
  <c r="AA152" i="4"/>
  <c r="AA168" i="4"/>
  <c r="AA54" i="4"/>
  <c r="AA108" i="4"/>
  <c r="AA140" i="4"/>
  <c r="AA172" i="4"/>
  <c r="AA30" i="4"/>
  <c r="AA94" i="4"/>
  <c r="AA128" i="4"/>
  <c r="AA160" i="4"/>
  <c r="AB7" i="4"/>
  <c r="AB11" i="4"/>
  <c r="AB15" i="4"/>
  <c r="AB19" i="4"/>
  <c r="AB23" i="4"/>
  <c r="AB27" i="4"/>
  <c r="AB31" i="4"/>
  <c r="AB35" i="4"/>
  <c r="AB39" i="4"/>
  <c r="AB43" i="4"/>
  <c r="AB47" i="4"/>
  <c r="AB51" i="4"/>
  <c r="AB55" i="4"/>
  <c r="AB59" i="4"/>
  <c r="AB63" i="4"/>
  <c r="AB67" i="4"/>
  <c r="AB71" i="4"/>
  <c r="AB75" i="4"/>
  <c r="AB79" i="4"/>
  <c r="AB83" i="4"/>
  <c r="AB88" i="4"/>
  <c r="AB92" i="4"/>
  <c r="AB96" i="4"/>
  <c r="AB100" i="4"/>
  <c r="AB104" i="4"/>
  <c r="AB108" i="4"/>
  <c r="AB112" i="4"/>
  <c r="AB116" i="4"/>
  <c r="AB120" i="4"/>
  <c r="AB124" i="4"/>
  <c r="AB128" i="4"/>
  <c r="AB132" i="4"/>
  <c r="AB136" i="4"/>
  <c r="AB140" i="4"/>
  <c r="AB144" i="4"/>
  <c r="AB148" i="4"/>
  <c r="AB152" i="4"/>
  <c r="AB156" i="4"/>
  <c r="AB160" i="4"/>
  <c r="AB164" i="4"/>
  <c r="AB168" i="4"/>
  <c r="AB172" i="4"/>
  <c r="AB8" i="4"/>
  <c r="AB12" i="4"/>
  <c r="AB16" i="4"/>
  <c r="AB20" i="4"/>
  <c r="AB24" i="4"/>
  <c r="AB28" i="4"/>
  <c r="AB32" i="4"/>
  <c r="AB36" i="4"/>
  <c r="AB40" i="4"/>
  <c r="AB44" i="4"/>
  <c r="AB48" i="4"/>
  <c r="AB52" i="4"/>
  <c r="AB56" i="4"/>
  <c r="AB60" i="4"/>
  <c r="AB64" i="4"/>
  <c r="AB68" i="4"/>
  <c r="AB72" i="4"/>
  <c r="AB76" i="4"/>
  <c r="AB80" i="4"/>
  <c r="AB84" i="4"/>
  <c r="AB89" i="4"/>
  <c r="AB93" i="4"/>
  <c r="AB97" i="4"/>
  <c r="AB101" i="4"/>
  <c r="AB105" i="4"/>
  <c r="AB109" i="4"/>
  <c r="AB113" i="4"/>
  <c r="AB117" i="4"/>
  <c r="AB121" i="4"/>
  <c r="AB125" i="4"/>
  <c r="AB129" i="4"/>
  <c r="AB133" i="4"/>
  <c r="AB137" i="4"/>
  <c r="AB141" i="4"/>
  <c r="AB145" i="4"/>
  <c r="AB149" i="4"/>
  <c r="AB153" i="4"/>
  <c r="AB157" i="4"/>
  <c r="AB161" i="4"/>
  <c r="AB165" i="4"/>
  <c r="AB169" i="4"/>
  <c r="AB173" i="4"/>
  <c r="AB9" i="4"/>
  <c r="AB17" i="4"/>
  <c r="AB25" i="4"/>
  <c r="AB33" i="4"/>
  <c r="AB41" i="4"/>
  <c r="AB49" i="4"/>
  <c r="AB57" i="4"/>
  <c r="AB65" i="4"/>
  <c r="AB73" i="4"/>
  <c r="AB81" i="4"/>
  <c r="AB90" i="4"/>
  <c r="AB98" i="4"/>
  <c r="AB106" i="4"/>
  <c r="AB114" i="4"/>
  <c r="AB122" i="4"/>
  <c r="AB130" i="4"/>
  <c r="AB138" i="4"/>
  <c r="AB146" i="4"/>
  <c r="AB154" i="4"/>
  <c r="AB162" i="4"/>
  <c r="AB170" i="4"/>
  <c r="AB13" i="4"/>
  <c r="AB21" i="4"/>
  <c r="AB29" i="4"/>
  <c r="AB37" i="4"/>
  <c r="AB45" i="4"/>
  <c r="AB53" i="4"/>
  <c r="AB61" i="4"/>
  <c r="AB69" i="4"/>
  <c r="AB77" i="4"/>
  <c r="AB86" i="4"/>
  <c r="AB94" i="4"/>
  <c r="AB102" i="4"/>
  <c r="AB110" i="4"/>
  <c r="AB118" i="4"/>
  <c r="AB126" i="4"/>
  <c r="AB134" i="4"/>
  <c r="AB142" i="4"/>
  <c r="AB150" i="4"/>
  <c r="AB158" i="4"/>
  <c r="AB166" i="4"/>
  <c r="AB5" i="4"/>
  <c r="AB10" i="4"/>
  <c r="AB18" i="4"/>
  <c r="AB26" i="4"/>
  <c r="AB42" i="4"/>
  <c r="AB50" i="4"/>
  <c r="AB58" i="4"/>
  <c r="AB66" i="4"/>
  <c r="AB74" i="4"/>
  <c r="AB82" i="4"/>
  <c r="AB91" i="4"/>
  <c r="AB107" i="4"/>
  <c r="AB115" i="4"/>
  <c r="AB123" i="4"/>
  <c r="AB131" i="4"/>
  <c r="AB139" i="4"/>
  <c r="AB147" i="4"/>
  <c r="AB155" i="4"/>
  <c r="AB163" i="4"/>
  <c r="AB171" i="4"/>
  <c r="AB14" i="4"/>
  <c r="AB46" i="4"/>
  <c r="AB78" i="4"/>
  <c r="AB111" i="4"/>
  <c r="AB143" i="4"/>
  <c r="AB30" i="4"/>
  <c r="AB95" i="4"/>
  <c r="AB38" i="4"/>
  <c r="AB103" i="4"/>
  <c r="AB167" i="4"/>
  <c r="AB22" i="4"/>
  <c r="AB54" i="4"/>
  <c r="AB87" i="4"/>
  <c r="AB119" i="4"/>
  <c r="AB151" i="4"/>
  <c r="AB62" i="4"/>
  <c r="AB127" i="4"/>
  <c r="AB159" i="4"/>
  <c r="AB6" i="4"/>
  <c r="AB70" i="4"/>
  <c r="AB135" i="4"/>
  <c r="AK8" i="4"/>
  <c r="AK12" i="4"/>
  <c r="AK16" i="4"/>
  <c r="AK20" i="4"/>
  <c r="AK24" i="4"/>
  <c r="AK28" i="4"/>
  <c r="AK32" i="4"/>
  <c r="AK36" i="4"/>
  <c r="AK40" i="4"/>
  <c r="AK44" i="4"/>
  <c r="AK48" i="4"/>
  <c r="AK52" i="4"/>
  <c r="AK56" i="4"/>
  <c r="AK60" i="4"/>
  <c r="AK64" i="4"/>
  <c r="AK68" i="4"/>
  <c r="AK72" i="4"/>
  <c r="AK76" i="4"/>
  <c r="AK80" i="4"/>
  <c r="AK84" i="4"/>
  <c r="AK89" i="4"/>
  <c r="AK93" i="4"/>
  <c r="AK97" i="4"/>
  <c r="AK101" i="4"/>
  <c r="AK105" i="4"/>
  <c r="AK109" i="4"/>
  <c r="AK113" i="4"/>
  <c r="AK117" i="4"/>
  <c r="AK121" i="4"/>
  <c r="AK125" i="4"/>
  <c r="AK129" i="4"/>
  <c r="AK133" i="4"/>
  <c r="AK137" i="4"/>
  <c r="AK141" i="4"/>
  <c r="AK145" i="4"/>
  <c r="AK149" i="4"/>
  <c r="AK153" i="4"/>
  <c r="AK157" i="4"/>
  <c r="AK161" i="4"/>
  <c r="AK165" i="4"/>
  <c r="AK169" i="4"/>
  <c r="AK173" i="4"/>
  <c r="AK6" i="4"/>
  <c r="AK10" i="4"/>
  <c r="AK14" i="4"/>
  <c r="AK18" i="4"/>
  <c r="AK22" i="4"/>
  <c r="AK26" i="4"/>
  <c r="AK30" i="4"/>
  <c r="AK38" i="4"/>
  <c r="AK42" i="4"/>
  <c r="AK46" i="4"/>
  <c r="AK50" i="4"/>
  <c r="AK54" i="4"/>
  <c r="AK58" i="4"/>
  <c r="AK66" i="4"/>
  <c r="AK70" i="4"/>
  <c r="AK74" i="4"/>
  <c r="AK78" i="4"/>
  <c r="AK82" i="4"/>
  <c r="AK87" i="4"/>
  <c r="AK91" i="4"/>
  <c r="AK95" i="4"/>
  <c r="AK103" i="4"/>
  <c r="AK107" i="4"/>
  <c r="AK111" i="4"/>
  <c r="AK115" i="4"/>
  <c r="AK119" i="4"/>
  <c r="AK123" i="4"/>
  <c r="AK127" i="4"/>
  <c r="AK131" i="4"/>
  <c r="AK135" i="4"/>
  <c r="AK139" i="4"/>
  <c r="AK143" i="4"/>
  <c r="AK147" i="4"/>
  <c r="AK151" i="4"/>
  <c r="AK155" i="4"/>
  <c r="AK159" i="4"/>
  <c r="AK163" i="4"/>
  <c r="AK167" i="4"/>
  <c r="AK171" i="4"/>
  <c r="AK9" i="4"/>
  <c r="AK13" i="4"/>
  <c r="AK17" i="4"/>
  <c r="AK21" i="4"/>
  <c r="AK25" i="4"/>
  <c r="AK29" i="4"/>
  <c r="AK33" i="4"/>
  <c r="AK37" i="4"/>
  <c r="AK41" i="4"/>
  <c r="AK45" i="4"/>
  <c r="AK49" i="4"/>
  <c r="AK53" i="4"/>
  <c r="AK57" i="4"/>
  <c r="AK61" i="4"/>
  <c r="AK65" i="4"/>
  <c r="AK69" i="4"/>
  <c r="AK73" i="4"/>
  <c r="AK77" i="4"/>
  <c r="AK81" i="4"/>
  <c r="AK86" i="4"/>
  <c r="AK90" i="4"/>
  <c r="AK94" i="4"/>
  <c r="AK98" i="4"/>
  <c r="AK102" i="4"/>
  <c r="AK106" i="4"/>
  <c r="AK110" i="4"/>
  <c r="AK114" i="4"/>
  <c r="AK118" i="4"/>
  <c r="AK122" i="4"/>
  <c r="AK126" i="4"/>
  <c r="AK130" i="4"/>
  <c r="AK134" i="4"/>
  <c r="AK138" i="4"/>
  <c r="AK142" i="4"/>
  <c r="AK146" i="4"/>
  <c r="AK150" i="4"/>
  <c r="AK154" i="4"/>
  <c r="AK158" i="4"/>
  <c r="AK162" i="4"/>
  <c r="AK166" i="4"/>
  <c r="AK170" i="4"/>
  <c r="AK5" i="4"/>
  <c r="AK11" i="4"/>
  <c r="AK27" i="4"/>
  <c r="AK43" i="4"/>
  <c r="AK59" i="4"/>
  <c r="AK75" i="4"/>
  <c r="AK92" i="4"/>
  <c r="AK108" i="4"/>
  <c r="AK124" i="4"/>
  <c r="AK140" i="4"/>
  <c r="AK156" i="4"/>
  <c r="AK172" i="4"/>
  <c r="AK19" i="4"/>
  <c r="AK35" i="4"/>
  <c r="AK67" i="4"/>
  <c r="AK100" i="4"/>
  <c r="AK132" i="4"/>
  <c r="AK164" i="4"/>
  <c r="AK7" i="4"/>
  <c r="AK39" i="4"/>
  <c r="AK71" i="4"/>
  <c r="AK88" i="4"/>
  <c r="AK120" i="4"/>
  <c r="AK152" i="4"/>
  <c r="AK15" i="4"/>
  <c r="AK31" i="4"/>
  <c r="AK47" i="4"/>
  <c r="AK63" i="4"/>
  <c r="AK79" i="4"/>
  <c r="AK96" i="4"/>
  <c r="AK112" i="4"/>
  <c r="AK128" i="4"/>
  <c r="AK144" i="4"/>
  <c r="AK160" i="4"/>
  <c r="AK51" i="4"/>
  <c r="AK83" i="4"/>
  <c r="AK116" i="4"/>
  <c r="AK148" i="4"/>
  <c r="AK23" i="4"/>
  <c r="AK55" i="4"/>
  <c r="AK104" i="4"/>
  <c r="AK136" i="4"/>
  <c r="AK168" i="4"/>
  <c r="AB85" i="4"/>
  <c r="AI85" i="4"/>
  <c r="AK85" i="4" s="1"/>
  <c r="AH99" i="4"/>
  <c r="R99" i="4" s="1"/>
  <c r="R85" i="4"/>
  <c r="AI99" i="4"/>
  <c r="AK99" i="4" s="1"/>
  <c r="AI34" i="4"/>
  <c r="AK34" i="4" s="1"/>
  <c r="I63" i="6"/>
  <c r="E62" i="6"/>
  <c r="E61" i="6"/>
  <c r="E60" i="6"/>
  <c r="AW58" i="4" l="1"/>
  <c r="AW22" i="4"/>
  <c r="AW167" i="4"/>
  <c r="AW46" i="4"/>
  <c r="AW5" i="4"/>
  <c r="AW54" i="4"/>
  <c r="AW164" i="4"/>
  <c r="AW138" i="4"/>
  <c r="AW50" i="4"/>
  <c r="AW163" i="4"/>
  <c r="AW131" i="4"/>
  <c r="AW98" i="4"/>
  <c r="AW37" i="4"/>
  <c r="AW157" i="4"/>
  <c r="AW125" i="4"/>
  <c r="AW80" i="4"/>
  <c r="AW48" i="4"/>
  <c r="AW16" i="4"/>
  <c r="AW67" i="4"/>
  <c r="AW35" i="4"/>
  <c r="AW90" i="4"/>
  <c r="AW25" i="4"/>
  <c r="AW160" i="4"/>
  <c r="AW92" i="4"/>
  <c r="AW124" i="4"/>
  <c r="AW14" i="4"/>
  <c r="AW170" i="4"/>
  <c r="AW103" i="4"/>
  <c r="AW168" i="4"/>
  <c r="AW144" i="4"/>
  <c r="AW148" i="4"/>
  <c r="AW166" i="4"/>
  <c r="AW134" i="4"/>
  <c r="AW102" i="4"/>
  <c r="AW42" i="4"/>
  <c r="AW159" i="4"/>
  <c r="AW127" i="4"/>
  <c r="AW29" i="4"/>
  <c r="AW153" i="4"/>
  <c r="AW121" i="4"/>
  <c r="AW81" i="4"/>
  <c r="AW17" i="4"/>
  <c r="AW76" i="4"/>
  <c r="AW44" i="4"/>
  <c r="AW12" i="4"/>
  <c r="AW63" i="4"/>
  <c r="AW31" i="4"/>
  <c r="AW108" i="4"/>
  <c r="AW128" i="4"/>
  <c r="AW152" i="4"/>
  <c r="AW112" i="4"/>
  <c r="AW132" i="4"/>
  <c r="AW162" i="4"/>
  <c r="AW130" i="4"/>
  <c r="AW96" i="4"/>
  <c r="AW155" i="4"/>
  <c r="AW123" i="4"/>
  <c r="AW86" i="4"/>
  <c r="AW21" i="4"/>
  <c r="AW149" i="4"/>
  <c r="AW117" i="4"/>
  <c r="AW73" i="4"/>
  <c r="AW9" i="4"/>
  <c r="AW72" i="4"/>
  <c r="AW40" i="4"/>
  <c r="AW8" i="4"/>
  <c r="AW59" i="4"/>
  <c r="AW27" i="4"/>
  <c r="AW106" i="4"/>
  <c r="AW94" i="4"/>
  <c r="AW136" i="4"/>
  <c r="AW62" i="4"/>
  <c r="AW158" i="4"/>
  <c r="AW126" i="4"/>
  <c r="AW91" i="4"/>
  <c r="AW26" i="4"/>
  <c r="AW151" i="4"/>
  <c r="AW119" i="4"/>
  <c r="AW77" i="4"/>
  <c r="AW13" i="4"/>
  <c r="AW145" i="4"/>
  <c r="AW113" i="4"/>
  <c r="AW65" i="4"/>
  <c r="AW101" i="4"/>
  <c r="AW68" i="4"/>
  <c r="AW36" i="4"/>
  <c r="AW88" i="4"/>
  <c r="AW55" i="4"/>
  <c r="AW23" i="4"/>
  <c r="AW30" i="4"/>
  <c r="AW120" i="4"/>
  <c r="AW156" i="4"/>
  <c r="AW70" i="4"/>
  <c r="AW154" i="4"/>
  <c r="AW122" i="4"/>
  <c r="AW82" i="4"/>
  <c r="AW18" i="4"/>
  <c r="AW147" i="4"/>
  <c r="AW115" i="4"/>
  <c r="AW69" i="4"/>
  <c r="AW173" i="4"/>
  <c r="AW141" i="4"/>
  <c r="AW109" i="4"/>
  <c r="AW57" i="4"/>
  <c r="AW97" i="4"/>
  <c r="AW64" i="4"/>
  <c r="AW32" i="4"/>
  <c r="AW83" i="4"/>
  <c r="AW51" i="4"/>
  <c r="AW19" i="4"/>
  <c r="AW142" i="4"/>
  <c r="AW172" i="4"/>
  <c r="AW104" i="4"/>
  <c r="AW38" i="4"/>
  <c r="AW150" i="4"/>
  <c r="AW118" i="4"/>
  <c r="AW74" i="4"/>
  <c r="AW10" i="4"/>
  <c r="AW143" i="4"/>
  <c r="AW111" i="4"/>
  <c r="AW61" i="4"/>
  <c r="AW169" i="4"/>
  <c r="AW137" i="4"/>
  <c r="AW105" i="4"/>
  <c r="AW49" i="4"/>
  <c r="AW93" i="4"/>
  <c r="AW60" i="4"/>
  <c r="AW28" i="4"/>
  <c r="AW79" i="4"/>
  <c r="AW47" i="4"/>
  <c r="AW15" i="4"/>
  <c r="AW140" i="4"/>
  <c r="AW78" i="4"/>
  <c r="AW87" i="4"/>
  <c r="AW6" i="4"/>
  <c r="AW146" i="4"/>
  <c r="AW114" i="4"/>
  <c r="AW66" i="4"/>
  <c r="AW171" i="4"/>
  <c r="AW139" i="4"/>
  <c r="AW107" i="4"/>
  <c r="AW53" i="4"/>
  <c r="AW165" i="4"/>
  <c r="AW133" i="4"/>
  <c r="AW100" i="4"/>
  <c r="AW41" i="4"/>
  <c r="AW89" i="4"/>
  <c r="AW56" i="4"/>
  <c r="AW24" i="4"/>
  <c r="AW75" i="4"/>
  <c r="AW43" i="4"/>
  <c r="AW11" i="4"/>
  <c r="AO34" i="4"/>
  <c r="AO99" i="4"/>
  <c r="AO23" i="4"/>
  <c r="V23" i="4"/>
  <c r="V112" i="4"/>
  <c r="AO112" i="4"/>
  <c r="AO120" i="4"/>
  <c r="V120" i="4"/>
  <c r="AO156" i="4"/>
  <c r="V156" i="4"/>
  <c r="AO27" i="4"/>
  <c r="V27" i="4"/>
  <c r="V150" i="4"/>
  <c r="AO150" i="4"/>
  <c r="AO102" i="4"/>
  <c r="V102" i="4"/>
  <c r="AO69" i="4"/>
  <c r="V69" i="4"/>
  <c r="AO37" i="4"/>
  <c r="V37" i="4"/>
  <c r="V171" i="4"/>
  <c r="AO171" i="4"/>
  <c r="V123" i="4"/>
  <c r="AO123" i="4"/>
  <c r="V74" i="4"/>
  <c r="AO74" i="4"/>
  <c r="V26" i="4"/>
  <c r="AO26" i="4"/>
  <c r="V149" i="4"/>
  <c r="AO149" i="4"/>
  <c r="V101" i="4"/>
  <c r="AO101" i="4"/>
  <c r="V52" i="4"/>
  <c r="AO52" i="4"/>
  <c r="AJ99" i="4"/>
  <c r="U120" i="4"/>
  <c r="AN120" i="4"/>
  <c r="U151" i="4"/>
  <c r="AN151" i="4"/>
  <c r="U87" i="4"/>
  <c r="AN87" i="4"/>
  <c r="U7" i="4"/>
  <c r="AN7" i="4"/>
  <c r="U144" i="4"/>
  <c r="AN144" i="4"/>
  <c r="U11" i="4"/>
  <c r="AN11" i="4"/>
  <c r="AN116" i="4"/>
  <c r="U116" i="4"/>
  <c r="U5" i="4"/>
  <c r="AN5" i="4"/>
  <c r="U142" i="4"/>
  <c r="AN142" i="4"/>
  <c r="U110" i="4"/>
  <c r="AN110" i="4"/>
  <c r="U77" i="4"/>
  <c r="AN77" i="4"/>
  <c r="U45" i="4"/>
  <c r="AN45" i="4"/>
  <c r="U13" i="4"/>
  <c r="AN13" i="4"/>
  <c r="U10" i="4"/>
  <c r="AN10" i="4"/>
  <c r="U149" i="4"/>
  <c r="AN149" i="4"/>
  <c r="U117" i="4"/>
  <c r="AN117" i="4"/>
  <c r="U101" i="4"/>
  <c r="AN101" i="4"/>
  <c r="U84" i="4"/>
  <c r="AN84" i="4"/>
  <c r="AN68" i="4"/>
  <c r="U68" i="4"/>
  <c r="U52" i="4"/>
  <c r="AN52" i="4"/>
  <c r="U20" i="4"/>
  <c r="AN20" i="4"/>
  <c r="V148" i="4"/>
  <c r="AO148" i="4"/>
  <c r="AO88" i="4"/>
  <c r="V88" i="4"/>
  <c r="AO75" i="4"/>
  <c r="V75" i="4"/>
  <c r="V162" i="4"/>
  <c r="AO162" i="4"/>
  <c r="V114" i="4"/>
  <c r="AO114" i="4"/>
  <c r="V81" i="4"/>
  <c r="AO81" i="4"/>
  <c r="V49" i="4"/>
  <c r="AO49" i="4"/>
  <c r="V17" i="4"/>
  <c r="AO17" i="4"/>
  <c r="V135" i="4"/>
  <c r="AO135" i="4"/>
  <c r="V87" i="4"/>
  <c r="AO87" i="4"/>
  <c r="V38" i="4"/>
  <c r="AO38" i="4"/>
  <c r="V6" i="4"/>
  <c r="AO6" i="4"/>
  <c r="V129" i="4"/>
  <c r="AO129" i="4"/>
  <c r="AO80" i="4"/>
  <c r="V80" i="4"/>
  <c r="AO48" i="4"/>
  <c r="V48" i="4"/>
  <c r="AO16" i="4"/>
  <c r="V16" i="4"/>
  <c r="U147" i="4"/>
  <c r="AN147" i="4"/>
  <c r="U168" i="4"/>
  <c r="AN168" i="4"/>
  <c r="U143" i="4"/>
  <c r="AN143" i="4"/>
  <c r="U78" i="4"/>
  <c r="AN78" i="4"/>
  <c r="U171" i="4"/>
  <c r="AN171" i="4"/>
  <c r="U42" i="4"/>
  <c r="AN42" i="4"/>
  <c r="AN79" i="4"/>
  <c r="U79" i="4"/>
  <c r="U140" i="4"/>
  <c r="AN140" i="4"/>
  <c r="U75" i="4"/>
  <c r="AN75" i="4"/>
  <c r="U170" i="4"/>
  <c r="AN170" i="4"/>
  <c r="U138" i="4"/>
  <c r="AN138" i="4"/>
  <c r="U106" i="4"/>
  <c r="AN106" i="4"/>
  <c r="U73" i="4"/>
  <c r="AN73" i="4"/>
  <c r="U41" i="4"/>
  <c r="AN41" i="4"/>
  <c r="U9" i="4"/>
  <c r="AN9" i="4"/>
  <c r="U22" i="4"/>
  <c r="AN22" i="4"/>
  <c r="U161" i="4"/>
  <c r="AN161" i="4"/>
  <c r="U145" i="4"/>
  <c r="AN145" i="4"/>
  <c r="U129" i="4"/>
  <c r="AN129" i="4"/>
  <c r="U113" i="4"/>
  <c r="AN113" i="4"/>
  <c r="U97" i="4"/>
  <c r="AN97" i="4"/>
  <c r="U80" i="4"/>
  <c r="AN80" i="4"/>
  <c r="U64" i="4"/>
  <c r="AN64" i="4"/>
  <c r="U48" i="4"/>
  <c r="AN48" i="4"/>
  <c r="U32" i="4"/>
  <c r="AN32" i="4"/>
  <c r="V104" i="4"/>
  <c r="AO104" i="4"/>
  <c r="V116" i="4"/>
  <c r="AO116" i="4"/>
  <c r="V144" i="4"/>
  <c r="AO144" i="4"/>
  <c r="V79" i="4"/>
  <c r="AO79" i="4"/>
  <c r="V15" i="4"/>
  <c r="AO15" i="4"/>
  <c r="V71" i="4"/>
  <c r="AO71" i="4"/>
  <c r="V132" i="4"/>
  <c r="AO132" i="4"/>
  <c r="V19" i="4"/>
  <c r="AO19" i="4"/>
  <c r="AO124" i="4"/>
  <c r="V124" i="4"/>
  <c r="AO59" i="4"/>
  <c r="V59" i="4"/>
  <c r="V5" i="4"/>
  <c r="AO5" i="4"/>
  <c r="V158" i="4"/>
  <c r="AO158" i="4"/>
  <c r="V142" i="4"/>
  <c r="AO142" i="4"/>
  <c r="V126" i="4"/>
  <c r="AO126" i="4"/>
  <c r="V110" i="4"/>
  <c r="AO110" i="4"/>
  <c r="V94" i="4"/>
  <c r="AO94" i="4"/>
  <c r="V77" i="4"/>
  <c r="AO77" i="4"/>
  <c r="V61" i="4"/>
  <c r="AO61" i="4"/>
  <c r="V45" i="4"/>
  <c r="AO45" i="4"/>
  <c r="V29" i="4"/>
  <c r="AO29" i="4"/>
  <c r="V13" i="4"/>
  <c r="AO13" i="4"/>
  <c r="V163" i="4"/>
  <c r="AO163" i="4"/>
  <c r="V147" i="4"/>
  <c r="AO147" i="4"/>
  <c r="V131" i="4"/>
  <c r="AO131" i="4"/>
  <c r="V115" i="4"/>
  <c r="AO115" i="4"/>
  <c r="V82" i="4"/>
  <c r="AO82" i="4"/>
  <c r="V66" i="4"/>
  <c r="AO66" i="4"/>
  <c r="V50" i="4"/>
  <c r="AO50" i="4"/>
  <c r="V18" i="4"/>
  <c r="AO18" i="4"/>
  <c r="AO173" i="4"/>
  <c r="V173" i="4"/>
  <c r="V157" i="4"/>
  <c r="AO157" i="4"/>
  <c r="AO141" i="4"/>
  <c r="V141" i="4"/>
  <c r="V125" i="4"/>
  <c r="AO125" i="4"/>
  <c r="AO109" i="4"/>
  <c r="V109" i="4"/>
  <c r="V93" i="4"/>
  <c r="AO93" i="4"/>
  <c r="AO76" i="4"/>
  <c r="V76" i="4"/>
  <c r="V60" i="4"/>
  <c r="AO60" i="4"/>
  <c r="AO44" i="4"/>
  <c r="V44" i="4"/>
  <c r="V28" i="4"/>
  <c r="AO28" i="4"/>
  <c r="AO12" i="4"/>
  <c r="V12" i="4"/>
  <c r="U131" i="4"/>
  <c r="AN131" i="4"/>
  <c r="U66" i="4"/>
  <c r="AN66" i="4"/>
  <c r="U152" i="4"/>
  <c r="AN152" i="4"/>
  <c r="U71" i="4"/>
  <c r="AN71" i="4"/>
  <c r="U167" i="4"/>
  <c r="AN167" i="4"/>
  <c r="U135" i="4"/>
  <c r="AN135" i="4"/>
  <c r="U103" i="4"/>
  <c r="AN103" i="4"/>
  <c r="U70" i="4"/>
  <c r="AN70" i="4"/>
  <c r="U38" i="4"/>
  <c r="AN38" i="4"/>
  <c r="U155" i="4"/>
  <c r="AN155" i="4"/>
  <c r="U91" i="4"/>
  <c r="AN91" i="4"/>
  <c r="AN15" i="4"/>
  <c r="U15" i="4"/>
  <c r="AN112" i="4"/>
  <c r="U112" i="4"/>
  <c r="U55" i="4"/>
  <c r="AN55" i="4"/>
  <c r="U164" i="4"/>
  <c r="AN164" i="4"/>
  <c r="U132" i="4"/>
  <c r="AN132" i="4"/>
  <c r="U100" i="4"/>
  <c r="AN100" i="4"/>
  <c r="AN67" i="4"/>
  <c r="U67" i="4"/>
  <c r="AN35" i="4"/>
  <c r="U35" i="4"/>
  <c r="U166" i="4"/>
  <c r="AN166" i="4"/>
  <c r="U150" i="4"/>
  <c r="AN150" i="4"/>
  <c r="U134" i="4"/>
  <c r="AN134" i="4"/>
  <c r="U118" i="4"/>
  <c r="AN118" i="4"/>
  <c r="U102" i="4"/>
  <c r="AN102" i="4"/>
  <c r="U86" i="4"/>
  <c r="AN86" i="4"/>
  <c r="U69" i="4"/>
  <c r="AN69" i="4"/>
  <c r="U53" i="4"/>
  <c r="AN53" i="4"/>
  <c r="U37" i="4"/>
  <c r="AN37" i="4"/>
  <c r="U21" i="4"/>
  <c r="AN21" i="4"/>
  <c r="U34" i="4"/>
  <c r="AN34" i="4"/>
  <c r="U18" i="4"/>
  <c r="AN18" i="4"/>
  <c r="U173" i="4"/>
  <c r="AN173" i="4"/>
  <c r="U157" i="4"/>
  <c r="AN157" i="4"/>
  <c r="U141" i="4"/>
  <c r="AN141" i="4"/>
  <c r="U125" i="4"/>
  <c r="AN125" i="4"/>
  <c r="U109" i="4"/>
  <c r="AN109" i="4"/>
  <c r="U93" i="4"/>
  <c r="AN93" i="4"/>
  <c r="U76" i="4"/>
  <c r="AN76" i="4"/>
  <c r="U60" i="4"/>
  <c r="AN60" i="4"/>
  <c r="U44" i="4"/>
  <c r="AN44" i="4"/>
  <c r="U28" i="4"/>
  <c r="AN28" i="4"/>
  <c r="U12" i="4"/>
  <c r="AN12" i="4"/>
  <c r="V168" i="4"/>
  <c r="AO168" i="4"/>
  <c r="V51" i="4"/>
  <c r="AO51" i="4"/>
  <c r="V47" i="4"/>
  <c r="AO47" i="4"/>
  <c r="V7" i="4"/>
  <c r="AO7" i="4"/>
  <c r="V67" i="4"/>
  <c r="AO67" i="4"/>
  <c r="AO92" i="4"/>
  <c r="V92" i="4"/>
  <c r="AO166" i="4"/>
  <c r="V166" i="4"/>
  <c r="AO134" i="4"/>
  <c r="V134" i="4"/>
  <c r="V118" i="4"/>
  <c r="AO118" i="4"/>
  <c r="V86" i="4"/>
  <c r="AO86" i="4"/>
  <c r="V53" i="4"/>
  <c r="AO53" i="4"/>
  <c r="V21" i="4"/>
  <c r="AO21" i="4"/>
  <c r="V155" i="4"/>
  <c r="AO155" i="4"/>
  <c r="V139" i="4"/>
  <c r="AO139" i="4"/>
  <c r="V107" i="4"/>
  <c r="AO107" i="4"/>
  <c r="V91" i="4"/>
  <c r="AO91" i="4"/>
  <c r="V58" i="4"/>
  <c r="AO58" i="4"/>
  <c r="V42" i="4"/>
  <c r="AO42" i="4"/>
  <c r="V10" i="4"/>
  <c r="AO10" i="4"/>
  <c r="V165" i="4"/>
  <c r="AO165" i="4"/>
  <c r="V133" i="4"/>
  <c r="AO133" i="4"/>
  <c r="V117" i="4"/>
  <c r="AO117" i="4"/>
  <c r="V84" i="4"/>
  <c r="AO84" i="4"/>
  <c r="V68" i="4"/>
  <c r="AO68" i="4"/>
  <c r="V36" i="4"/>
  <c r="AO36" i="4"/>
  <c r="V20" i="4"/>
  <c r="AO20" i="4"/>
  <c r="U163" i="4"/>
  <c r="AN163" i="4"/>
  <c r="U31" i="4"/>
  <c r="AN31" i="4"/>
  <c r="AN47" i="4"/>
  <c r="U47" i="4"/>
  <c r="U119" i="4"/>
  <c r="AN119" i="4"/>
  <c r="U54" i="4"/>
  <c r="AN54" i="4"/>
  <c r="U123" i="4"/>
  <c r="AN123" i="4"/>
  <c r="U58" i="4"/>
  <c r="AN58" i="4"/>
  <c r="U96" i="4"/>
  <c r="AN96" i="4"/>
  <c r="AN148" i="4"/>
  <c r="U148" i="4"/>
  <c r="AN83" i="4"/>
  <c r="U83" i="4"/>
  <c r="AN51" i="4"/>
  <c r="U51" i="4"/>
  <c r="AN158" i="4"/>
  <c r="U158" i="4"/>
  <c r="U126" i="4"/>
  <c r="AN126" i="4"/>
  <c r="AN94" i="4"/>
  <c r="U94" i="4"/>
  <c r="AN61" i="4"/>
  <c r="U61" i="4"/>
  <c r="AN29" i="4"/>
  <c r="U29" i="4"/>
  <c r="U26" i="4"/>
  <c r="AN26" i="4"/>
  <c r="U165" i="4"/>
  <c r="AN165" i="4"/>
  <c r="AN133" i="4"/>
  <c r="U133" i="4"/>
  <c r="AN36" i="4"/>
  <c r="U36" i="4"/>
  <c r="V136" i="4"/>
  <c r="AO136" i="4"/>
  <c r="V160" i="4"/>
  <c r="AO160" i="4"/>
  <c r="V96" i="4"/>
  <c r="AO96" i="4"/>
  <c r="V31" i="4"/>
  <c r="AO31" i="4"/>
  <c r="V164" i="4"/>
  <c r="AO164" i="4"/>
  <c r="V35" i="4"/>
  <c r="AO35" i="4"/>
  <c r="AO140" i="4"/>
  <c r="V140" i="4"/>
  <c r="AO11" i="4"/>
  <c r="V11" i="4"/>
  <c r="V146" i="4"/>
  <c r="AO146" i="4"/>
  <c r="V130" i="4"/>
  <c r="AO130" i="4"/>
  <c r="V98" i="4"/>
  <c r="AO98" i="4"/>
  <c r="V65" i="4"/>
  <c r="AO65" i="4"/>
  <c r="V33" i="4"/>
  <c r="AO33" i="4"/>
  <c r="V167" i="4"/>
  <c r="AO167" i="4"/>
  <c r="V151" i="4"/>
  <c r="AO151" i="4"/>
  <c r="V119" i="4"/>
  <c r="AO119" i="4"/>
  <c r="V103" i="4"/>
  <c r="AO103" i="4"/>
  <c r="V70" i="4"/>
  <c r="AO70" i="4"/>
  <c r="V54" i="4"/>
  <c r="AO54" i="4"/>
  <c r="V22" i="4"/>
  <c r="AO22" i="4"/>
  <c r="V161" i="4"/>
  <c r="AO161" i="4"/>
  <c r="AO145" i="4"/>
  <c r="V145" i="4"/>
  <c r="AO113" i="4"/>
  <c r="V113" i="4"/>
  <c r="V97" i="4"/>
  <c r="AO97" i="4"/>
  <c r="V64" i="4"/>
  <c r="AO64" i="4"/>
  <c r="V32" i="4"/>
  <c r="AO32" i="4"/>
  <c r="U82" i="4"/>
  <c r="AN82" i="4"/>
  <c r="U88" i="4"/>
  <c r="AN88" i="4"/>
  <c r="U27" i="4"/>
  <c r="AN27" i="4"/>
  <c r="U111" i="4"/>
  <c r="AN111" i="4"/>
  <c r="U46" i="4"/>
  <c r="AN46" i="4"/>
  <c r="U107" i="4"/>
  <c r="AN107" i="4"/>
  <c r="U128" i="4"/>
  <c r="AN128" i="4"/>
  <c r="U172" i="4"/>
  <c r="AN172" i="4"/>
  <c r="U108" i="4"/>
  <c r="AN108" i="4"/>
  <c r="U43" i="4"/>
  <c r="AN43" i="4"/>
  <c r="U154" i="4"/>
  <c r="AN154" i="4"/>
  <c r="U122" i="4"/>
  <c r="AN122" i="4"/>
  <c r="U90" i="4"/>
  <c r="AN90" i="4"/>
  <c r="U57" i="4"/>
  <c r="AN57" i="4"/>
  <c r="U25" i="4"/>
  <c r="AN25" i="4"/>
  <c r="U6" i="4"/>
  <c r="AN6" i="4"/>
  <c r="U16" i="4"/>
  <c r="AN16" i="4"/>
  <c r="AO55" i="4"/>
  <c r="V55" i="4"/>
  <c r="V83" i="4"/>
  <c r="AO83" i="4"/>
  <c r="V128" i="4"/>
  <c r="AO128" i="4"/>
  <c r="V63" i="4"/>
  <c r="AO63" i="4"/>
  <c r="AO152" i="4"/>
  <c r="V152" i="4"/>
  <c r="V39" i="4"/>
  <c r="AO39" i="4"/>
  <c r="V100" i="4"/>
  <c r="AO100" i="4"/>
  <c r="AO172" i="4"/>
  <c r="V172" i="4"/>
  <c r="AO108" i="4"/>
  <c r="V108" i="4"/>
  <c r="AO43" i="4"/>
  <c r="V43" i="4"/>
  <c r="V170" i="4"/>
  <c r="AO170" i="4"/>
  <c r="V154" i="4"/>
  <c r="AO154" i="4"/>
  <c r="V138" i="4"/>
  <c r="AO138" i="4"/>
  <c r="V122" i="4"/>
  <c r="AO122" i="4"/>
  <c r="V106" i="4"/>
  <c r="AO106" i="4"/>
  <c r="V90" i="4"/>
  <c r="AO90" i="4"/>
  <c r="V73" i="4"/>
  <c r="AO73" i="4"/>
  <c r="V57" i="4"/>
  <c r="AO57" i="4"/>
  <c r="V41" i="4"/>
  <c r="AO41" i="4"/>
  <c r="V25" i="4"/>
  <c r="AO25" i="4"/>
  <c r="V9" i="4"/>
  <c r="AO9" i="4"/>
  <c r="V159" i="4"/>
  <c r="AO159" i="4"/>
  <c r="V143" i="4"/>
  <c r="AO143" i="4"/>
  <c r="V127" i="4"/>
  <c r="AO127" i="4"/>
  <c r="V111" i="4"/>
  <c r="AO111" i="4"/>
  <c r="V95" i="4"/>
  <c r="AO95" i="4"/>
  <c r="V78" i="4"/>
  <c r="AO78" i="4"/>
  <c r="V62" i="4"/>
  <c r="AO62" i="4"/>
  <c r="V46" i="4"/>
  <c r="AO46" i="4"/>
  <c r="V30" i="4"/>
  <c r="AO30" i="4"/>
  <c r="V14" i="4"/>
  <c r="AO14" i="4"/>
  <c r="V169" i="4"/>
  <c r="AO169" i="4"/>
  <c r="V153" i="4"/>
  <c r="AO153" i="4"/>
  <c r="V137" i="4"/>
  <c r="AO137" i="4"/>
  <c r="V121" i="4"/>
  <c r="AO121" i="4"/>
  <c r="V105" i="4"/>
  <c r="AO105" i="4"/>
  <c r="V89" i="4"/>
  <c r="AO89" i="4"/>
  <c r="V72" i="4"/>
  <c r="AO72" i="4"/>
  <c r="V56" i="4"/>
  <c r="AO56" i="4"/>
  <c r="V40" i="4"/>
  <c r="AO40" i="4"/>
  <c r="V24" i="4"/>
  <c r="AO24" i="4"/>
  <c r="V8" i="4"/>
  <c r="AO8" i="4"/>
  <c r="AA99" i="4"/>
  <c r="AA175" i="4"/>
  <c r="U115" i="4"/>
  <c r="AN115" i="4"/>
  <c r="U50" i="4"/>
  <c r="AN50" i="4"/>
  <c r="U136" i="4"/>
  <c r="AN136" i="4"/>
  <c r="U63" i="4"/>
  <c r="AN63" i="4"/>
  <c r="U159" i="4"/>
  <c r="AN159" i="4"/>
  <c r="U127" i="4"/>
  <c r="AN127" i="4"/>
  <c r="U95" i="4"/>
  <c r="AN95" i="4"/>
  <c r="U62" i="4"/>
  <c r="AN62" i="4"/>
  <c r="U23" i="4"/>
  <c r="AN23" i="4"/>
  <c r="U139" i="4"/>
  <c r="AN139" i="4"/>
  <c r="U74" i="4"/>
  <c r="AN74" i="4"/>
  <c r="U160" i="4"/>
  <c r="AN160" i="4"/>
  <c r="U104" i="4"/>
  <c r="AN104" i="4"/>
  <c r="U39" i="4"/>
  <c r="AN39" i="4"/>
  <c r="U156" i="4"/>
  <c r="AN156" i="4"/>
  <c r="U124" i="4"/>
  <c r="AN124" i="4"/>
  <c r="U92" i="4"/>
  <c r="AN92" i="4"/>
  <c r="U59" i="4"/>
  <c r="AN59" i="4"/>
  <c r="AN19" i="4"/>
  <c r="U19" i="4"/>
  <c r="U162" i="4"/>
  <c r="AN162" i="4"/>
  <c r="U146" i="4"/>
  <c r="AN146" i="4"/>
  <c r="U130" i="4"/>
  <c r="AN130" i="4"/>
  <c r="U114" i="4"/>
  <c r="AN114" i="4"/>
  <c r="U98" i="4"/>
  <c r="AN98" i="4"/>
  <c r="U81" i="4"/>
  <c r="AN81" i="4"/>
  <c r="U65" i="4"/>
  <c r="AN65" i="4"/>
  <c r="U49" i="4"/>
  <c r="AN49" i="4"/>
  <c r="U33" i="4"/>
  <c r="AN33" i="4"/>
  <c r="U17" i="4"/>
  <c r="AN17" i="4"/>
  <c r="U30" i="4"/>
  <c r="AN30" i="4"/>
  <c r="U14" i="4"/>
  <c r="AN14" i="4"/>
  <c r="U169" i="4"/>
  <c r="AN169" i="4"/>
  <c r="U153" i="4"/>
  <c r="AN153" i="4"/>
  <c r="AN137" i="4"/>
  <c r="U137" i="4"/>
  <c r="U121" i="4"/>
  <c r="AN121" i="4"/>
  <c r="U105" i="4"/>
  <c r="AN105" i="4"/>
  <c r="U89" i="4"/>
  <c r="AN89" i="4"/>
  <c r="AN72" i="4"/>
  <c r="U72" i="4"/>
  <c r="U56" i="4"/>
  <c r="AN56" i="4"/>
  <c r="AN40" i="4"/>
  <c r="U40" i="4"/>
  <c r="U24" i="4"/>
  <c r="AN24" i="4"/>
  <c r="AN8" i="4"/>
  <c r="U8" i="4"/>
  <c r="AO85" i="4"/>
  <c r="V85" i="4"/>
  <c r="AB176" i="4"/>
  <c r="AA85" i="4"/>
  <c r="AW85" i="4" s="1"/>
  <c r="S34" i="4"/>
  <c r="AH85" i="4"/>
  <c r="AJ85" i="4" s="1"/>
  <c r="S99" i="4"/>
  <c r="AK175" i="4"/>
  <c r="AK176" i="4"/>
  <c r="AK177" i="4"/>
  <c r="AK174" i="4"/>
  <c r="E63" i="6"/>
  <c r="Q177" i="4"/>
  <c r="Q176" i="4"/>
  <c r="Q175" i="4"/>
  <c r="Q174" i="4"/>
  <c r="S207" i="10" s="1"/>
  <c r="S209" i="10" s="1"/>
  <c r="S211" i="10" s="1"/>
  <c r="P176" i="4"/>
  <c r="P174" i="4"/>
  <c r="H174" i="4"/>
  <c r="G174" i="4"/>
  <c r="AW176" i="4" l="1"/>
  <c r="AA177" i="4"/>
  <c r="C11" i="6" a="1"/>
  <c r="C11" i="6" s="1"/>
  <c r="AA174" i="4"/>
  <c r="AP36" i="4"/>
  <c r="U175" i="4"/>
  <c r="AB99" i="4"/>
  <c r="U99" i="4"/>
  <c r="AN99" i="4"/>
  <c r="AB34" i="4"/>
  <c r="AP142" i="4"/>
  <c r="C15" i="6" a="1"/>
  <c r="C15" i="6" s="1"/>
  <c r="U85" i="4"/>
  <c r="AN85" i="4"/>
  <c r="H175" i="4" a="1"/>
  <c r="H175" i="4" s="1"/>
  <c r="AA176" i="4"/>
  <c r="C20" i="6" a="1"/>
  <c r="C20" i="6" s="1"/>
  <c r="C23" i="6" a="1"/>
  <c r="C23" i="6" s="1"/>
  <c r="G176" i="4" a="1"/>
  <c r="G176" i="4" s="1"/>
  <c r="C16" i="6" a="1"/>
  <c r="C16" i="6" s="1"/>
  <c r="C22" i="6" a="1"/>
  <c r="C22" i="6" s="1"/>
  <c r="C24" i="6" a="1"/>
  <c r="C24" i="6" s="1"/>
  <c r="G175" i="4" a="1"/>
  <c r="G175" i="4" s="1"/>
  <c r="G177" i="4" a="1"/>
  <c r="G177" i="4" s="1"/>
  <c r="C12" i="6" a="1"/>
  <c r="C12" i="6" s="1"/>
  <c r="C18" i="6" a="1"/>
  <c r="C18" i="6" s="1"/>
  <c r="H176" i="4" a="1"/>
  <c r="H176" i="4" s="1"/>
  <c r="C19" i="6" a="1"/>
  <c r="C19" i="6" s="1"/>
  <c r="H177" i="4" a="1"/>
  <c r="H177" i="4" s="1"/>
  <c r="C14" i="6" a="1"/>
  <c r="C14" i="6" s="1"/>
  <c r="AW34" i="4" l="1"/>
  <c r="AW99" i="4"/>
  <c r="AW177" i="4" s="1"/>
  <c r="V34" i="4"/>
  <c r="AB175" i="4"/>
  <c r="AB174" i="4"/>
  <c r="U177" i="4"/>
  <c r="V99" i="4"/>
  <c r="AB177" i="4"/>
  <c r="U176" i="4"/>
  <c r="B62" i="6"/>
  <c r="C62" i="6" s="1"/>
  <c r="B61" i="6"/>
  <c r="C25" i="6"/>
  <c r="C17" i="6"/>
  <c r="C13" i="6"/>
  <c r="C21" i="6"/>
  <c r="B60" i="6"/>
  <c r="Y174" i="4"/>
  <c r="Y175" i="4"/>
  <c r="Y176" i="4"/>
  <c r="Y177" i="4"/>
  <c r="AW174" i="4" l="1" a="1"/>
  <c r="AW174" i="4" s="1"/>
  <c r="AW175" i="4"/>
  <c r="V175" i="4"/>
  <c r="V174" i="4"/>
  <c r="U174" i="4"/>
  <c r="AG177" i="4" a="1"/>
  <c r="AG177" i="4" s="1"/>
  <c r="G14" i="6" s="1"/>
  <c r="AF177" i="4" a="1"/>
  <c r="AF177" i="4" s="1"/>
  <c r="AF176" i="4" a="1"/>
  <c r="AF176" i="4" s="1"/>
  <c r="AG176" i="4" a="1"/>
  <c r="AG176" i="4" s="1"/>
  <c r="G15" i="6" s="1"/>
  <c r="K15" i="6" s="1"/>
  <c r="AG175" i="4" a="1"/>
  <c r="AG175" i="4" s="1"/>
  <c r="G16" i="6" s="1"/>
  <c r="K16" i="6" s="1"/>
  <c r="AF175" i="4" a="1"/>
  <c r="AF175" i="4" s="1"/>
  <c r="AG174" i="4" a="1"/>
  <c r="AG174" i="4" s="1"/>
  <c r="AF174" i="4" a="1"/>
  <c r="AF174" i="4" s="1"/>
  <c r="C61" i="6"/>
  <c r="C60" i="6"/>
  <c r="C31" i="6"/>
  <c r="C30" i="6"/>
  <c r="C29" i="6"/>
  <c r="C28" i="6"/>
  <c r="C27" i="6"/>
  <c r="C26" i="6"/>
  <c r="AA13" i="5"/>
  <c r="Z13" i="5"/>
  <c r="AA12" i="5"/>
  <c r="Z12" i="5"/>
  <c r="AA4" i="5"/>
  <c r="AE4" i="5"/>
  <c r="AE7" i="5" s="1"/>
  <c r="AA3" i="5"/>
  <c r="AF3" i="5" s="1"/>
  <c r="Z3" i="5"/>
  <c r="AE3" i="5" s="1"/>
  <c r="AA2" i="5"/>
  <c r="AF2" i="5" s="1"/>
  <c r="Z2" i="5"/>
  <c r="AE2" i="5" s="1"/>
  <c r="G17" i="6" l="1"/>
  <c r="K14" i="6"/>
  <c r="K17" i="6" s="1"/>
  <c r="AA7" i="5"/>
  <c r="AA9" i="5"/>
  <c r="K20" i="6" a="1"/>
  <c r="K20" i="6" s="1"/>
  <c r="K19" i="6" a="1"/>
  <c r="K19" i="6" s="1"/>
  <c r="K18" i="6" a="1"/>
  <c r="K18" i="6" s="1"/>
  <c r="X175" i="4" a="1"/>
  <c r="X175" i="4" s="1"/>
  <c r="K23" i="6" a="1"/>
  <c r="K23" i="6" s="1"/>
  <c r="K30" i="6" s="1"/>
  <c r="K24" i="6" a="1"/>
  <c r="K24" i="6" s="1"/>
  <c r="K31" i="6" s="1"/>
  <c r="K22" i="6" a="1"/>
  <c r="K22" i="6" s="1"/>
  <c r="W175" i="4" a="1"/>
  <c r="W175" i="4" s="1"/>
  <c r="X174" i="4" a="1"/>
  <c r="X174" i="4" s="1"/>
  <c r="G24" i="6" s="1" a="1"/>
  <c r="G24" i="6" s="1"/>
  <c r="G31" i="6" s="1"/>
  <c r="W177" i="4" a="1"/>
  <c r="W177" i="4" s="1"/>
  <c r="X177" i="4" a="1"/>
  <c r="X177" i="4" s="1"/>
  <c r="X176" i="4" a="1"/>
  <c r="X176" i="4" s="1"/>
  <c r="W174" i="4" a="1"/>
  <c r="W174" i="4" s="1"/>
  <c r="W176" i="4" a="1"/>
  <c r="W176" i="4" s="1"/>
  <c r="AG2" i="5"/>
  <c r="AF4" i="5"/>
  <c r="AG3" i="5"/>
  <c r="AP86" i="4"/>
  <c r="K29" i="6" l="1"/>
  <c r="AF7" i="5"/>
  <c r="AF9" i="5"/>
  <c r="AE9" i="5"/>
  <c r="G11" i="6"/>
  <c r="G12" i="6"/>
  <c r="G13" i="6"/>
  <c r="J61" i="6"/>
  <c r="K61" i="6" s="1"/>
  <c r="J60" i="6"/>
  <c r="K60" i="6" s="1"/>
  <c r="J62" i="6"/>
  <c r="K62" i="6" s="1"/>
  <c r="K21" i="6"/>
  <c r="G22" i="6" a="1"/>
  <c r="G22" i="6" s="1"/>
  <c r="G29" i="6" s="1"/>
  <c r="K25" i="6"/>
  <c r="G23" i="6" a="1"/>
  <c r="G23" i="6" s="1"/>
  <c r="G30" i="6" s="1"/>
  <c r="G20" i="6" a="1"/>
  <c r="G20" i="6" s="1"/>
  <c r="G18" i="6" a="1"/>
  <c r="G18" i="6" s="1"/>
  <c r="G19" i="6" a="1"/>
  <c r="G19" i="6" s="1"/>
  <c r="AP74" i="4"/>
  <c r="AG4" i="5"/>
  <c r="AP62" i="4"/>
  <c r="AP66" i="4"/>
  <c r="AG7" i="5" l="1"/>
  <c r="AG9" i="5"/>
  <c r="G28" i="6"/>
  <c r="K12" i="6"/>
  <c r="K28" i="6" s="1"/>
  <c r="G26" i="6"/>
  <c r="K26" i="6"/>
  <c r="G27" i="6"/>
  <c r="K11" i="6"/>
  <c r="AP172" i="4"/>
  <c r="F62" i="6"/>
  <c r="Y36" i="4" s="1"/>
  <c r="AC36" i="4" s="1"/>
  <c r="AP78" i="4"/>
  <c r="F60" i="6"/>
  <c r="F61" i="6"/>
  <c r="G21" i="6"/>
  <c r="G25" i="6"/>
  <c r="C39" i="6"/>
  <c r="AP148" i="4"/>
  <c r="AP18" i="4"/>
  <c r="AP26" i="4"/>
  <c r="AP33" i="4"/>
  <c r="AP41" i="4"/>
  <c r="AP49" i="4"/>
  <c r="AP64" i="4"/>
  <c r="AP72" i="4"/>
  <c r="AP80" i="4"/>
  <c r="AP149" i="4"/>
  <c r="AP165" i="4"/>
  <c r="AP173" i="4"/>
  <c r="AP6" i="4"/>
  <c r="AP14" i="4"/>
  <c r="AP22" i="4"/>
  <c r="AP30" i="4"/>
  <c r="AP37" i="4"/>
  <c r="AP45" i="4"/>
  <c r="AP53" i="4"/>
  <c r="AP60" i="4"/>
  <c r="AP68" i="4"/>
  <c r="AP76" i="4"/>
  <c r="AP84" i="4"/>
  <c r="AN177" i="4"/>
  <c r="AP157" i="4"/>
  <c r="AP160" i="4"/>
  <c r="AO174" i="4"/>
  <c r="K46" i="6" s="1" a="1"/>
  <c r="K46" i="6" s="1"/>
  <c r="AO177" i="4"/>
  <c r="AP7" i="4"/>
  <c r="AP15" i="4"/>
  <c r="AP23" i="4"/>
  <c r="AP31" i="4"/>
  <c r="AP38" i="4"/>
  <c r="AP46" i="4"/>
  <c r="AP54" i="4"/>
  <c r="AP61" i="4"/>
  <c r="AP69" i="4"/>
  <c r="AP77" i="4"/>
  <c r="AP85" i="4"/>
  <c r="AP5" i="4"/>
  <c r="AN175" i="4"/>
  <c r="AO175" i="4"/>
  <c r="AP10" i="4"/>
  <c r="AN176" i="4"/>
  <c r="AO176" i="4"/>
  <c r="AP70" i="4"/>
  <c r="AP82" i="4"/>
  <c r="AP94" i="4"/>
  <c r="AP102" i="4"/>
  <c r="AP110" i="4"/>
  <c r="AP118" i="4"/>
  <c r="AP126" i="4"/>
  <c r="AP152" i="4"/>
  <c r="AP117" i="4"/>
  <c r="AP132" i="4"/>
  <c r="AP139" i="4"/>
  <c r="AP168" i="4"/>
  <c r="AP88" i="4"/>
  <c r="AP96" i="4"/>
  <c r="AP104" i="4"/>
  <c r="AP112" i="4"/>
  <c r="AP120" i="4"/>
  <c r="AP128" i="4"/>
  <c r="AP134" i="4"/>
  <c r="AP11" i="4"/>
  <c r="AP19" i="4"/>
  <c r="AP27" i="4"/>
  <c r="AP34" i="4"/>
  <c r="AP42" i="4"/>
  <c r="AP90" i="4"/>
  <c r="AP98" i="4"/>
  <c r="AP106" i="4"/>
  <c r="AP114" i="4"/>
  <c r="AP122" i="4"/>
  <c r="AP130" i="4"/>
  <c r="AP166" i="4"/>
  <c r="AP129" i="4"/>
  <c r="AP135" i="4"/>
  <c r="AP156" i="4"/>
  <c r="AP92" i="4"/>
  <c r="AP100" i="4"/>
  <c r="AP108" i="4"/>
  <c r="AP116" i="4"/>
  <c r="AP124" i="4"/>
  <c r="AP131" i="4"/>
  <c r="AP138" i="4"/>
  <c r="AP145" i="4"/>
  <c r="AP151" i="4"/>
  <c r="AP159" i="4"/>
  <c r="AP167" i="4"/>
  <c r="AP93" i="4"/>
  <c r="AP101" i="4"/>
  <c r="AP109" i="4"/>
  <c r="AP121" i="4"/>
  <c r="AP12" i="4"/>
  <c r="AP20" i="4"/>
  <c r="AP28" i="4"/>
  <c r="AP35" i="4"/>
  <c r="AP43" i="4"/>
  <c r="AP51" i="4"/>
  <c r="AP58" i="4"/>
  <c r="AP140" i="4"/>
  <c r="AP153" i="4"/>
  <c r="AP161" i="4"/>
  <c r="AP169" i="4"/>
  <c r="AP48" i="4"/>
  <c r="AP71" i="4"/>
  <c r="AP83" i="4"/>
  <c r="AP95" i="4"/>
  <c r="AP107" i="4"/>
  <c r="AP119" i="4"/>
  <c r="AP133" i="4"/>
  <c r="AP141" i="4"/>
  <c r="AP146" i="4"/>
  <c r="AP158" i="4"/>
  <c r="AP170" i="4"/>
  <c r="AP13" i="4"/>
  <c r="AP21" i="4"/>
  <c r="AP29" i="4"/>
  <c r="AP44" i="4"/>
  <c r="AP56" i="4"/>
  <c r="AP67" i="4"/>
  <c r="AP87" i="4"/>
  <c r="AP111" i="4"/>
  <c r="AP50" i="4"/>
  <c r="AP57" i="4"/>
  <c r="AP65" i="4"/>
  <c r="AP73" i="4"/>
  <c r="AP81" i="4"/>
  <c r="AP89" i="4"/>
  <c r="AP97" i="4"/>
  <c r="AP105" i="4"/>
  <c r="AP113" i="4"/>
  <c r="AP125" i="4"/>
  <c r="AP164" i="4"/>
  <c r="AP150" i="4"/>
  <c r="AP147" i="4"/>
  <c r="AP155" i="4"/>
  <c r="AP163" i="4"/>
  <c r="AP171" i="4"/>
  <c r="AP8" i="4"/>
  <c r="AP16" i="4"/>
  <c r="AP24" i="4"/>
  <c r="AP32" i="4"/>
  <c r="AP39" i="4"/>
  <c r="AP47" i="4"/>
  <c r="AP55" i="4"/>
  <c r="AP136" i="4"/>
  <c r="AP143" i="4"/>
  <c r="AP63" i="4"/>
  <c r="AP79" i="4"/>
  <c r="AP91" i="4"/>
  <c r="AP99" i="4"/>
  <c r="AP115" i="4"/>
  <c r="AP127" i="4"/>
  <c r="AP137" i="4"/>
  <c r="AP144" i="4"/>
  <c r="AP154" i="4"/>
  <c r="AP162" i="4"/>
  <c r="AN174" i="4"/>
  <c r="K40" i="6" s="1" a="1"/>
  <c r="K40" i="6" s="1"/>
  <c r="AP9" i="4"/>
  <c r="AP17" i="4"/>
  <c r="AP25" i="4"/>
  <c r="AP40" i="4"/>
  <c r="AP52" i="4"/>
  <c r="AP59" i="4"/>
  <c r="AP75" i="4"/>
  <c r="AP103" i="4"/>
  <c r="AP123" i="4"/>
  <c r="K13" i="6" l="1"/>
  <c r="K27" i="6"/>
  <c r="Z36" i="4"/>
  <c r="AD36" i="4" s="1"/>
  <c r="G62" i="6"/>
  <c r="Y142" i="4"/>
  <c r="AC142" i="4" s="1"/>
  <c r="Y81" i="4"/>
  <c r="Y7" i="4"/>
  <c r="Y102" i="4"/>
  <c r="Y82" i="4"/>
  <c r="Y127" i="4"/>
  <c r="Y172" i="4"/>
  <c r="Y103" i="4"/>
  <c r="Y80" i="4"/>
  <c r="Y52" i="4"/>
  <c r="Y112" i="4"/>
  <c r="Y6" i="4"/>
  <c r="Y34" i="4"/>
  <c r="Y30" i="4"/>
  <c r="Y122" i="4"/>
  <c r="Y39" i="4"/>
  <c r="AC39" i="4" s="1"/>
  <c r="Y119" i="4"/>
  <c r="Y104" i="4"/>
  <c r="Y57" i="4"/>
  <c r="Y61" i="4"/>
  <c r="Y90" i="4"/>
  <c r="Y44" i="4"/>
  <c r="Y22" i="4"/>
  <c r="Y78" i="4"/>
  <c r="Y23" i="4"/>
  <c r="Y135" i="4"/>
  <c r="Y120" i="4"/>
  <c r="Y97" i="4"/>
  <c r="Y5" i="4"/>
  <c r="AC5" i="4" s="1"/>
  <c r="Y138" i="4"/>
  <c r="Y75" i="4"/>
  <c r="Y37" i="4"/>
  <c r="Y126" i="4"/>
  <c r="AC126" i="4" s="1"/>
  <c r="Y17" i="4"/>
  <c r="Y158" i="4"/>
  <c r="Y128" i="4"/>
  <c r="Y121" i="4"/>
  <c r="Y12" i="4"/>
  <c r="Y83" i="4"/>
  <c r="Y68" i="4"/>
  <c r="Y134" i="4"/>
  <c r="Y25" i="4"/>
  <c r="Y24" i="4"/>
  <c r="Y167" i="4"/>
  <c r="Y145" i="4"/>
  <c r="Y20" i="4"/>
  <c r="Y156" i="4"/>
  <c r="Y91" i="4"/>
  <c r="Y84" i="4"/>
  <c r="Y157" i="4"/>
  <c r="Y18" i="4"/>
  <c r="Y16" i="4"/>
  <c r="Y160" i="4"/>
  <c r="Y35" i="4"/>
  <c r="Y21" i="4"/>
  <c r="Y38" i="4"/>
  <c r="Y77" i="4"/>
  <c r="Y165" i="4"/>
  <c r="Y79" i="4"/>
  <c r="AC79" i="4" s="1"/>
  <c r="Y26" i="4"/>
  <c r="Y11" i="4"/>
  <c r="Y168" i="4"/>
  <c r="AC168" i="4" s="1"/>
  <c r="Y58" i="4"/>
  <c r="Y29" i="4"/>
  <c r="AC29" i="4" s="1"/>
  <c r="Y101" i="4"/>
  <c r="Y133" i="4"/>
  <c r="AC133" i="4" s="1"/>
  <c r="G61" i="6"/>
  <c r="Y86" i="4"/>
  <c r="AC86" i="4" s="1"/>
  <c r="Y70" i="4"/>
  <c r="AC70" i="4" s="1"/>
  <c r="Y62" i="4"/>
  <c r="AC62" i="4" s="1"/>
  <c r="Y47" i="4"/>
  <c r="AC47" i="4" s="1"/>
  <c r="Y32" i="4"/>
  <c r="AC32" i="4" s="1"/>
  <c r="Y46" i="4"/>
  <c r="AC46" i="4" s="1"/>
  <c r="Y155" i="4"/>
  <c r="AC155" i="4" s="1"/>
  <c r="Y140" i="4"/>
  <c r="AC140" i="4" s="1"/>
  <c r="Y124" i="4"/>
  <c r="AC124" i="4" s="1"/>
  <c r="Y116" i="4"/>
  <c r="AC116" i="4" s="1"/>
  <c r="Y108" i="4"/>
  <c r="AC108" i="4" s="1"/>
  <c r="Y162" i="4"/>
  <c r="AC162" i="4" s="1"/>
  <c r="Y154" i="4"/>
  <c r="AC154" i="4" s="1"/>
  <c r="Y139" i="4"/>
  <c r="AC139" i="4" s="1"/>
  <c r="Y131" i="4"/>
  <c r="AC131" i="4" s="1"/>
  <c r="Y115" i="4"/>
  <c r="AC115" i="4" s="1"/>
  <c r="Y125" i="4"/>
  <c r="AC125" i="4" s="1"/>
  <c r="Y161" i="4"/>
  <c r="AC161" i="4" s="1"/>
  <c r="Y130" i="4"/>
  <c r="AC130" i="4" s="1"/>
  <c r="Y106" i="4"/>
  <c r="AC106" i="4" s="1"/>
  <c r="Y74" i="4"/>
  <c r="AC74" i="4" s="1"/>
  <c r="Y28" i="4"/>
  <c r="AC28" i="4" s="1"/>
  <c r="Y129" i="4"/>
  <c r="AC129" i="4" s="1"/>
  <c r="Y27" i="4"/>
  <c r="AC27" i="4" s="1"/>
  <c r="Y19" i="4"/>
  <c r="AC19" i="4" s="1"/>
  <c r="Y85" i="4"/>
  <c r="AC85" i="4" s="1"/>
  <c r="Y31" i="4"/>
  <c r="AC31" i="4" s="1"/>
  <c r="Y159" i="4"/>
  <c r="AC159" i="4" s="1"/>
  <c r="Y144" i="4"/>
  <c r="AC144" i="4" s="1"/>
  <c r="Y136" i="4"/>
  <c r="AC136" i="4" s="1"/>
  <c r="Y88" i="4"/>
  <c r="AC88" i="4" s="1"/>
  <c r="Y33" i="4"/>
  <c r="AC33" i="4" s="1"/>
  <c r="Y10" i="4"/>
  <c r="AC10" i="4" s="1"/>
  <c r="Y141" i="4"/>
  <c r="AC141" i="4" s="1"/>
  <c r="Y87" i="4"/>
  <c r="AC87" i="4" s="1"/>
  <c r="Y71" i="4"/>
  <c r="AC71" i="4" s="1"/>
  <c r="Y40" i="4"/>
  <c r="AC40" i="4" s="1"/>
  <c r="G60" i="6"/>
  <c r="Y173" i="4"/>
  <c r="AC173" i="4" s="1"/>
  <c r="Y149" i="4"/>
  <c r="AC149" i="4" s="1"/>
  <c r="Y118" i="4"/>
  <c r="AC118" i="4" s="1"/>
  <c r="Y110" i="4"/>
  <c r="AC110" i="4" s="1"/>
  <c r="Y94" i="4"/>
  <c r="AC94" i="4" s="1"/>
  <c r="Y55" i="4"/>
  <c r="AC55" i="4" s="1"/>
  <c r="Y8" i="4"/>
  <c r="AC8" i="4" s="1"/>
  <c r="Y171" i="4"/>
  <c r="AC171" i="4" s="1"/>
  <c r="Y163" i="4"/>
  <c r="AC163" i="4" s="1"/>
  <c r="Y147" i="4"/>
  <c r="AC147" i="4" s="1"/>
  <c r="Y132" i="4"/>
  <c r="AC132" i="4" s="1"/>
  <c r="Y100" i="4"/>
  <c r="AC100" i="4" s="1"/>
  <c r="Y92" i="4"/>
  <c r="AC92" i="4" s="1"/>
  <c r="Y76" i="4"/>
  <c r="AC76" i="4" s="1"/>
  <c r="Y60" i="4"/>
  <c r="AC60" i="4" s="1"/>
  <c r="Y53" i="4"/>
  <c r="AC53" i="4" s="1"/>
  <c r="Y45" i="4"/>
  <c r="AC45" i="4" s="1"/>
  <c r="Y14" i="4"/>
  <c r="AC14" i="4" s="1"/>
  <c r="Y170" i="4"/>
  <c r="AC170" i="4" s="1"/>
  <c r="Y146" i="4"/>
  <c r="AC146" i="4" s="1"/>
  <c r="Y123" i="4"/>
  <c r="AC123" i="4" s="1"/>
  <c r="Y107" i="4"/>
  <c r="AC107" i="4" s="1"/>
  <c r="Y99" i="4"/>
  <c r="AC99" i="4" s="1"/>
  <c r="Y67" i="4"/>
  <c r="AC67" i="4" s="1"/>
  <c r="Y59" i="4"/>
  <c r="AC59" i="4" s="1"/>
  <c r="Y13" i="4"/>
  <c r="AC13" i="4" s="1"/>
  <c r="Y69" i="4"/>
  <c r="AC69" i="4" s="1"/>
  <c r="Y15" i="4"/>
  <c r="AC15" i="4" s="1"/>
  <c r="Y169" i="4"/>
  <c r="AC169" i="4" s="1"/>
  <c r="Y153" i="4"/>
  <c r="AC153" i="4" s="1"/>
  <c r="Y114" i="4"/>
  <c r="AC114" i="4" s="1"/>
  <c r="Y98" i="4"/>
  <c r="AC98" i="4" s="1"/>
  <c r="Y66" i="4"/>
  <c r="AC66" i="4" s="1"/>
  <c r="Y51" i="4"/>
  <c r="AC51" i="4" s="1"/>
  <c r="Y43" i="4"/>
  <c r="AC43" i="4" s="1"/>
  <c r="Y117" i="4"/>
  <c r="AC117" i="4" s="1"/>
  <c r="Y152" i="4"/>
  <c r="AC152" i="4" s="1"/>
  <c r="Y137" i="4"/>
  <c r="AC137" i="4" s="1"/>
  <c r="Y113" i="4"/>
  <c r="AC113" i="4" s="1"/>
  <c r="Y105" i="4"/>
  <c r="AC105" i="4" s="1"/>
  <c r="Y89" i="4"/>
  <c r="AC89" i="4" s="1"/>
  <c r="Y73" i="4"/>
  <c r="AC73" i="4" s="1"/>
  <c r="Y65" i="4"/>
  <c r="AC65" i="4" s="1"/>
  <c r="Y50" i="4"/>
  <c r="AC50" i="4" s="1"/>
  <c r="Y42" i="4"/>
  <c r="AC42" i="4" s="1"/>
  <c r="Y148" i="4"/>
  <c r="AC148" i="4" s="1"/>
  <c r="Y151" i="4"/>
  <c r="AC151" i="4" s="1"/>
  <c r="Y96" i="4"/>
  <c r="AC96" i="4" s="1"/>
  <c r="Y72" i="4"/>
  <c r="AC72" i="4" s="1"/>
  <c r="Y64" i="4"/>
  <c r="AC64" i="4" s="1"/>
  <c r="Y49" i="4"/>
  <c r="AC49" i="4" s="1"/>
  <c r="Y41" i="4"/>
  <c r="AC41" i="4" s="1"/>
  <c r="Y109" i="4"/>
  <c r="AC109" i="4" s="1"/>
  <c r="Y54" i="4"/>
  <c r="AC54" i="4" s="1"/>
  <c r="Y166" i="4"/>
  <c r="AC166" i="4" s="1"/>
  <c r="Y150" i="4"/>
  <c r="AC150" i="4" s="1"/>
  <c r="Y143" i="4"/>
  <c r="AC143" i="4" s="1"/>
  <c r="Y111" i="4"/>
  <c r="AC111" i="4" s="1"/>
  <c r="Y95" i="4"/>
  <c r="AC95" i="4" s="1"/>
  <c r="Y63" i="4"/>
  <c r="AC63" i="4" s="1"/>
  <c r="Y56" i="4"/>
  <c r="AC56" i="4" s="1"/>
  <c r="Y48" i="4"/>
  <c r="AC48" i="4" s="1"/>
  <c r="Y9" i="4"/>
  <c r="AC9" i="4" s="1"/>
  <c r="Y164" i="4"/>
  <c r="AC164" i="4" s="1"/>
  <c r="Y93" i="4"/>
  <c r="AC93" i="4" s="1"/>
  <c r="K39" i="6"/>
  <c r="K41" i="6" a="1"/>
  <c r="K41" i="6" s="1"/>
  <c r="K35" i="6"/>
  <c r="K42" i="6" a="1"/>
  <c r="K42" i="6" s="1"/>
  <c r="K50" i="6" s="1"/>
  <c r="K44" i="6" a="1"/>
  <c r="K44" i="6" s="1"/>
  <c r="K45" i="6" a="1"/>
  <c r="K45" i="6" s="1"/>
  <c r="AP177" i="4"/>
  <c r="AP176" i="4"/>
  <c r="AP175" i="4"/>
  <c r="AP174" i="4"/>
  <c r="Z165" i="4" l="1"/>
  <c r="AD165" i="4" s="1"/>
  <c r="AC165" i="4"/>
  <c r="Z35" i="4"/>
  <c r="AD35" i="4" s="1"/>
  <c r="AC35" i="4"/>
  <c r="Z157" i="4"/>
  <c r="AD157" i="4" s="1"/>
  <c r="AC157" i="4"/>
  <c r="Z20" i="4"/>
  <c r="AD20" i="4" s="1"/>
  <c r="AC20" i="4"/>
  <c r="Z25" i="4"/>
  <c r="AD25" i="4" s="1"/>
  <c r="AC25" i="4"/>
  <c r="Z12" i="4"/>
  <c r="AD12" i="4" s="1"/>
  <c r="AC12" i="4"/>
  <c r="Z17" i="4"/>
  <c r="AD17" i="4" s="1"/>
  <c r="AC17" i="4"/>
  <c r="Z138" i="4"/>
  <c r="AD138" i="4" s="1"/>
  <c r="AC138" i="4"/>
  <c r="Z135" i="4"/>
  <c r="AD135" i="4" s="1"/>
  <c r="AC135" i="4"/>
  <c r="Z44" i="4"/>
  <c r="AD44" i="4" s="1"/>
  <c r="AC44" i="4"/>
  <c r="Z104" i="4"/>
  <c r="AD104" i="4" s="1"/>
  <c r="AC104" i="4"/>
  <c r="Z30" i="4"/>
  <c r="AD30" i="4" s="1"/>
  <c r="AC30" i="4"/>
  <c r="AE30" i="4" s="1"/>
  <c r="AR30" i="4" s="1"/>
  <c r="Z52" i="4"/>
  <c r="AD52" i="4" s="1"/>
  <c r="AC52" i="4"/>
  <c r="Z127" i="4"/>
  <c r="AD127" i="4" s="1"/>
  <c r="AC127" i="4"/>
  <c r="Z81" i="4"/>
  <c r="AD81" i="4" s="1"/>
  <c r="AC81" i="4"/>
  <c r="Z101" i="4"/>
  <c r="AD101" i="4" s="1"/>
  <c r="AC101" i="4"/>
  <c r="AE101" i="4" s="1"/>
  <c r="AR101" i="4" s="1"/>
  <c r="Z11" i="4"/>
  <c r="AD11" i="4" s="1"/>
  <c r="AC11" i="4"/>
  <c r="Z77" i="4"/>
  <c r="AD77" i="4" s="1"/>
  <c r="AC77" i="4"/>
  <c r="Z160" i="4"/>
  <c r="AD160" i="4" s="1"/>
  <c r="AC160" i="4"/>
  <c r="Z145" i="4"/>
  <c r="AD145" i="4" s="1"/>
  <c r="AC145" i="4"/>
  <c r="AE145" i="4" s="1"/>
  <c r="AR145" i="4" s="1"/>
  <c r="Z134" i="4"/>
  <c r="AD134" i="4" s="1"/>
  <c r="AC134" i="4"/>
  <c r="Z121" i="4"/>
  <c r="AD121" i="4" s="1"/>
  <c r="AC121" i="4"/>
  <c r="Z5" i="4"/>
  <c r="AD5" i="4" s="1"/>
  <c r="Z23" i="4"/>
  <c r="AD23" i="4" s="1"/>
  <c r="AC23" i="4"/>
  <c r="Z90" i="4"/>
  <c r="AD90" i="4" s="1"/>
  <c r="AC90" i="4"/>
  <c r="Z119" i="4"/>
  <c r="AD119" i="4" s="1"/>
  <c r="AC119" i="4"/>
  <c r="Z34" i="4"/>
  <c r="AD34" i="4" s="1"/>
  <c r="AC34" i="4"/>
  <c r="Z80" i="4"/>
  <c r="AD80" i="4" s="1"/>
  <c r="AC80" i="4"/>
  <c r="Z82" i="4"/>
  <c r="AD82" i="4" s="1"/>
  <c r="AC82" i="4"/>
  <c r="Z26" i="4"/>
  <c r="AD26" i="4" s="1"/>
  <c r="AC26" i="4"/>
  <c r="Z38" i="4"/>
  <c r="AD38" i="4" s="1"/>
  <c r="AC38" i="4"/>
  <c r="Z16" i="4"/>
  <c r="AD16" i="4" s="1"/>
  <c r="AC16" i="4"/>
  <c r="Z91" i="4"/>
  <c r="AD91" i="4" s="1"/>
  <c r="AC91" i="4"/>
  <c r="Z167" i="4"/>
  <c r="AD167" i="4" s="1"/>
  <c r="AC167" i="4"/>
  <c r="Z68" i="4"/>
  <c r="AD68" i="4" s="1"/>
  <c r="AC68" i="4"/>
  <c r="Z128" i="4"/>
  <c r="AD128" i="4" s="1"/>
  <c r="AC128" i="4"/>
  <c r="Z37" i="4"/>
  <c r="AD37" i="4" s="1"/>
  <c r="AC37" i="4"/>
  <c r="Z97" i="4"/>
  <c r="AD97" i="4" s="1"/>
  <c r="AC97" i="4"/>
  <c r="Z78" i="4"/>
  <c r="AD78" i="4" s="1"/>
  <c r="AC78" i="4"/>
  <c r="Z61" i="4"/>
  <c r="AD61" i="4" s="1"/>
  <c r="AC61" i="4"/>
  <c r="Z6" i="4"/>
  <c r="AD6" i="4" s="1"/>
  <c r="AC6" i="4"/>
  <c r="Z103" i="4"/>
  <c r="AD103" i="4" s="1"/>
  <c r="AC103" i="4"/>
  <c r="Z102" i="4"/>
  <c r="AD102" i="4" s="1"/>
  <c r="AC102" i="4"/>
  <c r="Z84" i="4"/>
  <c r="AD84" i="4" s="1"/>
  <c r="AC84" i="4"/>
  <c r="Z58" i="4"/>
  <c r="AD58" i="4" s="1"/>
  <c r="AC58" i="4"/>
  <c r="Z21" i="4"/>
  <c r="AD21" i="4" s="1"/>
  <c r="AC21" i="4"/>
  <c r="Z18" i="4"/>
  <c r="AD18" i="4" s="1"/>
  <c r="AC18" i="4"/>
  <c r="Z156" i="4"/>
  <c r="AD156" i="4" s="1"/>
  <c r="AC156" i="4"/>
  <c r="Z24" i="4"/>
  <c r="AD24" i="4" s="1"/>
  <c r="AC24" i="4"/>
  <c r="Z83" i="4"/>
  <c r="AD83" i="4" s="1"/>
  <c r="AC83" i="4"/>
  <c r="Z158" i="4"/>
  <c r="AD158" i="4" s="1"/>
  <c r="AC158" i="4"/>
  <c r="Z75" i="4"/>
  <c r="AD75" i="4" s="1"/>
  <c r="AC75" i="4"/>
  <c r="Z120" i="4"/>
  <c r="AD120" i="4" s="1"/>
  <c r="AC120" i="4"/>
  <c r="Z22" i="4"/>
  <c r="AD22" i="4" s="1"/>
  <c r="AC22" i="4"/>
  <c r="Z57" i="4"/>
  <c r="AD57" i="4" s="1"/>
  <c r="AC57" i="4"/>
  <c r="Z122" i="4"/>
  <c r="AD122" i="4" s="1"/>
  <c r="AC122" i="4"/>
  <c r="Z112" i="4"/>
  <c r="AD112" i="4" s="1"/>
  <c r="AC112" i="4"/>
  <c r="Z172" i="4"/>
  <c r="AD172" i="4" s="1"/>
  <c r="AC172" i="4"/>
  <c r="Z7" i="4"/>
  <c r="AD7" i="4" s="1"/>
  <c r="AC7" i="4"/>
  <c r="AE36" i="4"/>
  <c r="AR36" i="4" s="1"/>
  <c r="Z142" i="4"/>
  <c r="AD142" i="4" s="1"/>
  <c r="Z29" i="4"/>
  <c r="AD29" i="4" s="1"/>
  <c r="Z168" i="4"/>
  <c r="AD168" i="4" s="1"/>
  <c r="Z79" i="4"/>
  <c r="AD79" i="4" s="1"/>
  <c r="Z126" i="4"/>
  <c r="AD126" i="4" s="1"/>
  <c r="Z133" i="4"/>
  <c r="AD133" i="4" s="1"/>
  <c r="Z39" i="4"/>
  <c r="AD39" i="4" s="1"/>
  <c r="Z9" i="4"/>
  <c r="AD9" i="4" s="1"/>
  <c r="Z151" i="4"/>
  <c r="AD151" i="4" s="1"/>
  <c r="Z114" i="4"/>
  <c r="AD114" i="4" s="1"/>
  <c r="Z60" i="4"/>
  <c r="AD60" i="4" s="1"/>
  <c r="Z141" i="4"/>
  <c r="AD141" i="4" s="1"/>
  <c r="Z108" i="4"/>
  <c r="AD108" i="4" s="1"/>
  <c r="Z48" i="4"/>
  <c r="AD48" i="4" s="1"/>
  <c r="Z54" i="4"/>
  <c r="AD54" i="4" s="1"/>
  <c r="Z148" i="4"/>
  <c r="AD148" i="4" s="1"/>
  <c r="Z137" i="4"/>
  <c r="AD137" i="4" s="1"/>
  <c r="Z153" i="4"/>
  <c r="AD153" i="4" s="1"/>
  <c r="Z107" i="4"/>
  <c r="AD107" i="4" s="1"/>
  <c r="Z76" i="4"/>
  <c r="AD76" i="4" s="1"/>
  <c r="Z55" i="4"/>
  <c r="AD55" i="4" s="1"/>
  <c r="Z10" i="4"/>
  <c r="AD10" i="4" s="1"/>
  <c r="Z85" i="4"/>
  <c r="AD85" i="4" s="1"/>
  <c r="Z161" i="4"/>
  <c r="AD161" i="4" s="1"/>
  <c r="Z116" i="4"/>
  <c r="AD116" i="4" s="1"/>
  <c r="Z70" i="4"/>
  <c r="AD70" i="4" s="1"/>
  <c r="Z166" i="4"/>
  <c r="AD166" i="4" s="1"/>
  <c r="Z113" i="4"/>
  <c r="AD113" i="4" s="1"/>
  <c r="Z99" i="4"/>
  <c r="AD99" i="4" s="1"/>
  <c r="Z8" i="4"/>
  <c r="AD8" i="4" s="1"/>
  <c r="Z31" i="4"/>
  <c r="AD31" i="4" s="1"/>
  <c r="Z130" i="4"/>
  <c r="AD130" i="4" s="1"/>
  <c r="Z62" i="4"/>
  <c r="AD62" i="4" s="1"/>
  <c r="Z56" i="4"/>
  <c r="AD56" i="4" s="1"/>
  <c r="Z109" i="4"/>
  <c r="AD109" i="4" s="1"/>
  <c r="Z42" i="4"/>
  <c r="AD42" i="4" s="1"/>
  <c r="Z152" i="4"/>
  <c r="AD152" i="4" s="1"/>
  <c r="Z169" i="4"/>
  <c r="AD169" i="4" s="1"/>
  <c r="Z123" i="4"/>
  <c r="AD123" i="4" s="1"/>
  <c r="Z92" i="4"/>
  <c r="AD92" i="4" s="1"/>
  <c r="Z94" i="4"/>
  <c r="AD94" i="4" s="1"/>
  <c r="Z33" i="4"/>
  <c r="AD33" i="4" s="1"/>
  <c r="Z19" i="4"/>
  <c r="AD19" i="4" s="1"/>
  <c r="Z125" i="4"/>
  <c r="AD125" i="4" s="1"/>
  <c r="Z124" i="4"/>
  <c r="AD124" i="4" s="1"/>
  <c r="Z86" i="4"/>
  <c r="AD86" i="4" s="1"/>
  <c r="Z63" i="4"/>
  <c r="AD63" i="4" s="1"/>
  <c r="Z41" i="4"/>
  <c r="AD41" i="4" s="1"/>
  <c r="Z117" i="4"/>
  <c r="AD117" i="4" s="1"/>
  <c r="Z15" i="4"/>
  <c r="AD15" i="4" s="1"/>
  <c r="Z146" i="4"/>
  <c r="AD146" i="4" s="1"/>
  <c r="Z100" i="4"/>
  <c r="AD100" i="4" s="1"/>
  <c r="Z110" i="4"/>
  <c r="AD110" i="4" s="1"/>
  <c r="Z27" i="4"/>
  <c r="AD27" i="4" s="1"/>
  <c r="Z115" i="4"/>
  <c r="AD115" i="4" s="1"/>
  <c r="Z140" i="4"/>
  <c r="AD140" i="4" s="1"/>
  <c r="Z95" i="4"/>
  <c r="AD95" i="4" s="1"/>
  <c r="Z49" i="4"/>
  <c r="AD49" i="4" s="1"/>
  <c r="Z65" i="4"/>
  <c r="AD65" i="4" s="1"/>
  <c r="Z43" i="4"/>
  <c r="AD43" i="4" s="1"/>
  <c r="Z69" i="4"/>
  <c r="AD69" i="4" s="1"/>
  <c r="Z170" i="4"/>
  <c r="AD170" i="4" s="1"/>
  <c r="Z132" i="4"/>
  <c r="AD132" i="4" s="1"/>
  <c r="Z118" i="4"/>
  <c r="AD118" i="4" s="1"/>
  <c r="Z88" i="4"/>
  <c r="AD88" i="4" s="1"/>
  <c r="Z129" i="4"/>
  <c r="AD129" i="4" s="1"/>
  <c r="Z131" i="4"/>
  <c r="AD131" i="4" s="1"/>
  <c r="Z155" i="4"/>
  <c r="AD155" i="4" s="1"/>
  <c r="Z50" i="4"/>
  <c r="AD50" i="4" s="1"/>
  <c r="Z111" i="4"/>
  <c r="AD111" i="4" s="1"/>
  <c r="Z64" i="4"/>
  <c r="AD64" i="4" s="1"/>
  <c r="Z73" i="4"/>
  <c r="AD73" i="4" s="1"/>
  <c r="Z51" i="4"/>
  <c r="AD51" i="4" s="1"/>
  <c r="Z13" i="4"/>
  <c r="AD13" i="4" s="1"/>
  <c r="Z14" i="4"/>
  <c r="AD14" i="4" s="1"/>
  <c r="Z147" i="4"/>
  <c r="AD147" i="4" s="1"/>
  <c r="Z149" i="4"/>
  <c r="AD149" i="4" s="1"/>
  <c r="Z40" i="4"/>
  <c r="AD40" i="4" s="1"/>
  <c r="Z136" i="4"/>
  <c r="AD136" i="4" s="1"/>
  <c r="Z28" i="4"/>
  <c r="AD28" i="4" s="1"/>
  <c r="Z139" i="4"/>
  <c r="AD139" i="4" s="1"/>
  <c r="Z46" i="4"/>
  <c r="AD46" i="4" s="1"/>
  <c r="Z71" i="4"/>
  <c r="AD71" i="4" s="1"/>
  <c r="Z144" i="4"/>
  <c r="AD144" i="4" s="1"/>
  <c r="Z74" i="4"/>
  <c r="AD74" i="4" s="1"/>
  <c r="Z154" i="4"/>
  <c r="AD154" i="4" s="1"/>
  <c r="Z32" i="4"/>
  <c r="AD32" i="4" s="1"/>
  <c r="Z93" i="4"/>
  <c r="AD93" i="4" s="1"/>
  <c r="Z143" i="4"/>
  <c r="AD143" i="4" s="1"/>
  <c r="Z72" i="4"/>
  <c r="AD72" i="4" s="1"/>
  <c r="Z89" i="4"/>
  <c r="AD89" i="4" s="1"/>
  <c r="Z66" i="4"/>
  <c r="AD66" i="4" s="1"/>
  <c r="Z59" i="4"/>
  <c r="AD59" i="4" s="1"/>
  <c r="Z45" i="4"/>
  <c r="AD45" i="4" s="1"/>
  <c r="Z163" i="4"/>
  <c r="AD163" i="4" s="1"/>
  <c r="Z173" i="4"/>
  <c r="AD173" i="4" s="1"/>
  <c r="Z164" i="4"/>
  <c r="AD164" i="4" s="1"/>
  <c r="Z150" i="4"/>
  <c r="AD150" i="4" s="1"/>
  <c r="Z96" i="4"/>
  <c r="AD96" i="4" s="1"/>
  <c r="Z105" i="4"/>
  <c r="AD105" i="4" s="1"/>
  <c r="Z98" i="4"/>
  <c r="AD98" i="4" s="1"/>
  <c r="Z67" i="4"/>
  <c r="AD67" i="4" s="1"/>
  <c r="Z53" i="4"/>
  <c r="AD53" i="4" s="1"/>
  <c r="Z171" i="4"/>
  <c r="AD171" i="4" s="1"/>
  <c r="Z87" i="4"/>
  <c r="AD87" i="4" s="1"/>
  <c r="Z159" i="4"/>
  <c r="AD159" i="4" s="1"/>
  <c r="Z106" i="4"/>
  <c r="AD106" i="4" s="1"/>
  <c r="Z162" i="4"/>
  <c r="AD162" i="4" s="1"/>
  <c r="Z47" i="4"/>
  <c r="AD47" i="4" s="1"/>
  <c r="K49" i="6"/>
  <c r="K43" i="6"/>
  <c r="G35" i="6"/>
  <c r="G39" i="6"/>
  <c r="K47" i="6"/>
  <c r="K48" i="6"/>
  <c r="AE122" i="4" l="1"/>
  <c r="AR122" i="4" s="1"/>
  <c r="AE75" i="4"/>
  <c r="AR75" i="4" s="1"/>
  <c r="AE156" i="4"/>
  <c r="AR156" i="4" s="1"/>
  <c r="AE84" i="4"/>
  <c r="AR84" i="4" s="1"/>
  <c r="AE61" i="4"/>
  <c r="AR61" i="4" s="1"/>
  <c r="AE128" i="4"/>
  <c r="AR128" i="4" s="1"/>
  <c r="AE16" i="4"/>
  <c r="AR16" i="4" s="1"/>
  <c r="AE80" i="4"/>
  <c r="AR80" i="4" s="1"/>
  <c r="AE138" i="4"/>
  <c r="AR138" i="4" s="1"/>
  <c r="AE23" i="4"/>
  <c r="AR23" i="4" s="1"/>
  <c r="AE112" i="4"/>
  <c r="AR112" i="4" s="1"/>
  <c r="AE120" i="4"/>
  <c r="AR120" i="4" s="1"/>
  <c r="AE24" i="4"/>
  <c r="AR24" i="4" s="1"/>
  <c r="AE58" i="4"/>
  <c r="AR58" i="4" s="1"/>
  <c r="AE6" i="4"/>
  <c r="AR6" i="4" s="1"/>
  <c r="AE37" i="4"/>
  <c r="AR37" i="4" s="1"/>
  <c r="AE91" i="4"/>
  <c r="AR91" i="4" s="1"/>
  <c r="AE82" i="4"/>
  <c r="AR82" i="4" s="1"/>
  <c r="AE90" i="4"/>
  <c r="AR90" i="4" s="1"/>
  <c r="AE135" i="4"/>
  <c r="AR135" i="4" s="1"/>
  <c r="AE104" i="4"/>
  <c r="AR104" i="4" s="1"/>
  <c r="AE17" i="4"/>
  <c r="AR17" i="4" s="1"/>
  <c r="AE127" i="4"/>
  <c r="AR127" i="4" s="1"/>
  <c r="AE172" i="4"/>
  <c r="AR172" i="4" s="1"/>
  <c r="AE22" i="4"/>
  <c r="AR22" i="4" s="1"/>
  <c r="AE83" i="4"/>
  <c r="AR83" i="4" s="1"/>
  <c r="AE21" i="4"/>
  <c r="AR21" i="4" s="1"/>
  <c r="AE103" i="4"/>
  <c r="AR103" i="4" s="1"/>
  <c r="AE97" i="4"/>
  <c r="AR97" i="4" s="1"/>
  <c r="AE167" i="4"/>
  <c r="AR167" i="4" s="1"/>
  <c r="AE26" i="4"/>
  <c r="AR26" i="4" s="1"/>
  <c r="AE119" i="4"/>
  <c r="AR119" i="4" s="1"/>
  <c r="AE121" i="4"/>
  <c r="AR121" i="4" s="1"/>
  <c r="AE77" i="4"/>
  <c r="AR77" i="4" s="1"/>
  <c r="AE44" i="4"/>
  <c r="AR44" i="4" s="1"/>
  <c r="AE12" i="4"/>
  <c r="AR12" i="4" s="1"/>
  <c r="AE35" i="4"/>
  <c r="AR35" i="4" s="1"/>
  <c r="AE7" i="4"/>
  <c r="AR7" i="4" s="1"/>
  <c r="AE134" i="4"/>
  <c r="AR134" i="4" s="1"/>
  <c r="AE20" i="4"/>
  <c r="AR20" i="4" s="1"/>
  <c r="AE11" i="4"/>
  <c r="AR11" i="4" s="1"/>
  <c r="AE18" i="4"/>
  <c r="AR18" i="4" s="1"/>
  <c r="AE57" i="4"/>
  <c r="AR57" i="4" s="1"/>
  <c r="AE158" i="4"/>
  <c r="AR158" i="4" s="1"/>
  <c r="AE102" i="4"/>
  <c r="AR102" i="4" s="1"/>
  <c r="AE78" i="4"/>
  <c r="AR78" i="4" s="1"/>
  <c r="AE68" i="4"/>
  <c r="AR68" i="4" s="1"/>
  <c r="AE38" i="4"/>
  <c r="AR38" i="4" s="1"/>
  <c r="AE34" i="4"/>
  <c r="AR34" i="4" s="1"/>
  <c r="AE5" i="4"/>
  <c r="AR5" i="4" s="1"/>
  <c r="AE160" i="4"/>
  <c r="AR160" i="4" s="1"/>
  <c r="AE81" i="4"/>
  <c r="AR81" i="4" s="1"/>
  <c r="AE157" i="4"/>
  <c r="AR157" i="4" s="1"/>
  <c r="AE52" i="4"/>
  <c r="AR52" i="4" s="1"/>
  <c r="AE25" i="4"/>
  <c r="AR25" i="4" s="1"/>
  <c r="AE165" i="4"/>
  <c r="AR165" i="4" s="1"/>
  <c r="AE142" i="4"/>
  <c r="AR142" i="4" s="1"/>
  <c r="AE31" i="4"/>
  <c r="AR31" i="4" s="1"/>
  <c r="AE166" i="4"/>
  <c r="AR166" i="4" s="1"/>
  <c r="AE107" i="4"/>
  <c r="AR107" i="4" s="1"/>
  <c r="AE54" i="4"/>
  <c r="AR54" i="4" s="1"/>
  <c r="AE60" i="4"/>
  <c r="AR60" i="4" s="1"/>
  <c r="AE39" i="4"/>
  <c r="AR39" i="4" s="1"/>
  <c r="AE133" i="4"/>
  <c r="AR133" i="4" s="1"/>
  <c r="AE168" i="4"/>
  <c r="AR168" i="4" s="1"/>
  <c r="AE106" i="4"/>
  <c r="AR106" i="4" s="1"/>
  <c r="AE53" i="4"/>
  <c r="AR53" i="4" s="1"/>
  <c r="AE96" i="4"/>
  <c r="AR96" i="4" s="1"/>
  <c r="AE163" i="4"/>
  <c r="AR163" i="4" s="1"/>
  <c r="AE89" i="4"/>
  <c r="AR89" i="4" s="1"/>
  <c r="AE71" i="4"/>
  <c r="AR71" i="4" s="1"/>
  <c r="AE136" i="4"/>
  <c r="AR136" i="4" s="1"/>
  <c r="AE14" i="4"/>
  <c r="AR14" i="4" s="1"/>
  <c r="AE64" i="4"/>
  <c r="AR64" i="4" s="1"/>
  <c r="AE131" i="4"/>
  <c r="AR131" i="4" s="1"/>
  <c r="AE132" i="4"/>
  <c r="AR132" i="4" s="1"/>
  <c r="AE65" i="4"/>
  <c r="AR65" i="4" s="1"/>
  <c r="AE140" i="4"/>
  <c r="AR140" i="4" s="1"/>
  <c r="AE110" i="4"/>
  <c r="AR110" i="4" s="1"/>
  <c r="AE117" i="4"/>
  <c r="AR117" i="4" s="1"/>
  <c r="AE124" i="4"/>
  <c r="AR124" i="4" s="1"/>
  <c r="AE94" i="4"/>
  <c r="AR94" i="4" s="1"/>
  <c r="AE152" i="4"/>
  <c r="AR152" i="4" s="1"/>
  <c r="AC175" i="4"/>
  <c r="AE69" i="4"/>
  <c r="AR69" i="4" s="1"/>
  <c r="AE159" i="4"/>
  <c r="AR159" i="4" s="1"/>
  <c r="AE67" i="4"/>
  <c r="AR67" i="4" s="1"/>
  <c r="AE150" i="4"/>
  <c r="AR150" i="4" s="1"/>
  <c r="AE45" i="4"/>
  <c r="AR45" i="4" s="1"/>
  <c r="AE72" i="4"/>
  <c r="AR72" i="4" s="1"/>
  <c r="AE154" i="4"/>
  <c r="AR154" i="4" s="1"/>
  <c r="AE40" i="4"/>
  <c r="AR40" i="4" s="1"/>
  <c r="AE13" i="4"/>
  <c r="AR13" i="4" s="1"/>
  <c r="AE111" i="4"/>
  <c r="AR111" i="4" s="1"/>
  <c r="AE129" i="4"/>
  <c r="AR129" i="4" s="1"/>
  <c r="AE170" i="4"/>
  <c r="AR170" i="4" s="1"/>
  <c r="AE49" i="4"/>
  <c r="AR49" i="4" s="1"/>
  <c r="AE115" i="4"/>
  <c r="AR115" i="4" s="1"/>
  <c r="AE100" i="4"/>
  <c r="AR100" i="4" s="1"/>
  <c r="AE41" i="4"/>
  <c r="AR41" i="4" s="1"/>
  <c r="AE125" i="4"/>
  <c r="AR125" i="4" s="1"/>
  <c r="AE92" i="4"/>
  <c r="AR92" i="4" s="1"/>
  <c r="AE42" i="4"/>
  <c r="AR42" i="4" s="1"/>
  <c r="AE126" i="4"/>
  <c r="AR126" i="4" s="1"/>
  <c r="AE29" i="4"/>
  <c r="AD175" i="4"/>
  <c r="AE79" i="4"/>
  <c r="AR79" i="4" s="1"/>
  <c r="AE32" i="4"/>
  <c r="AR32" i="4" s="1"/>
  <c r="AE162" i="4"/>
  <c r="AR162" i="4" s="1"/>
  <c r="AE171" i="4"/>
  <c r="AR171" i="4" s="1"/>
  <c r="AE105" i="4"/>
  <c r="AR105" i="4" s="1"/>
  <c r="AE173" i="4"/>
  <c r="AR173" i="4" s="1"/>
  <c r="AE66" i="4"/>
  <c r="AR66" i="4" s="1"/>
  <c r="AE93" i="4"/>
  <c r="AR93" i="4" s="1"/>
  <c r="AE144" i="4"/>
  <c r="AR144" i="4" s="1"/>
  <c r="AE28" i="4"/>
  <c r="AR28" i="4" s="1"/>
  <c r="AE147" i="4"/>
  <c r="AR147" i="4" s="1"/>
  <c r="AE73" i="4"/>
  <c r="AR73" i="4" s="1"/>
  <c r="AE155" i="4"/>
  <c r="AR155" i="4" s="1"/>
  <c r="AE118" i="4"/>
  <c r="AR118" i="4" s="1"/>
  <c r="AE43" i="4"/>
  <c r="AR43" i="4" s="1"/>
  <c r="AE33" i="4"/>
  <c r="AR33" i="4" s="1"/>
  <c r="AE169" i="4"/>
  <c r="AR169" i="4" s="1"/>
  <c r="AE56" i="4"/>
  <c r="AR56" i="4" s="1"/>
  <c r="AE70" i="4"/>
  <c r="AR70" i="4" s="1"/>
  <c r="AE153" i="4"/>
  <c r="AR153" i="4" s="1"/>
  <c r="AE48" i="4"/>
  <c r="AR48" i="4" s="1"/>
  <c r="AE114" i="4"/>
  <c r="AR114" i="4" s="1"/>
  <c r="AE130" i="4"/>
  <c r="AR130" i="4" s="1"/>
  <c r="AE113" i="4"/>
  <c r="AR113" i="4" s="1"/>
  <c r="AE161" i="4"/>
  <c r="AR161" i="4" s="1"/>
  <c r="AE76" i="4"/>
  <c r="AR76" i="4" s="1"/>
  <c r="AE148" i="4"/>
  <c r="AR148" i="4" s="1"/>
  <c r="AE141" i="4"/>
  <c r="AR141" i="4" s="1"/>
  <c r="AE99" i="4"/>
  <c r="AR99" i="4" s="1"/>
  <c r="AE116" i="4"/>
  <c r="AR116" i="4" s="1"/>
  <c r="AE55" i="4"/>
  <c r="AR55" i="4" s="1"/>
  <c r="AE137" i="4"/>
  <c r="AR137" i="4" s="1"/>
  <c r="AE108" i="4"/>
  <c r="AR108" i="4" s="1"/>
  <c r="AE151" i="4"/>
  <c r="AR151" i="4" s="1"/>
  <c r="AE85" i="4"/>
  <c r="AR85" i="4" s="1"/>
  <c r="AE9" i="4"/>
  <c r="AR9" i="4" s="1"/>
  <c r="AE15" i="4"/>
  <c r="AR15" i="4" s="1"/>
  <c r="AE86" i="4"/>
  <c r="AR86" i="4" s="1"/>
  <c r="AC177" i="4"/>
  <c r="AC174" i="4" a="1"/>
  <c r="AC174" i="4" s="1"/>
  <c r="G40" i="6" s="1" a="1"/>
  <c r="G40" i="6" s="1"/>
  <c r="AE8" i="4"/>
  <c r="AC176" i="4"/>
  <c r="AE10" i="4"/>
  <c r="AD174" i="4" a="1"/>
  <c r="AD174" i="4" s="1"/>
  <c r="G44" i="6" s="1" a="1"/>
  <c r="G44" i="6" s="1"/>
  <c r="C44" i="6" s="1"/>
  <c r="AD177" i="4"/>
  <c r="AD176" i="4"/>
  <c r="AE62" i="4"/>
  <c r="AR62" i="4" s="1"/>
  <c r="AE46" i="4"/>
  <c r="AR46" i="4" s="1"/>
  <c r="AE47" i="4"/>
  <c r="AR47" i="4" s="1"/>
  <c r="AE87" i="4"/>
  <c r="AR87" i="4" s="1"/>
  <c r="AE98" i="4"/>
  <c r="AR98" i="4" s="1"/>
  <c r="AE164" i="4"/>
  <c r="AR164" i="4" s="1"/>
  <c r="AE59" i="4"/>
  <c r="AR59" i="4" s="1"/>
  <c r="AE143" i="4"/>
  <c r="AR143" i="4" s="1"/>
  <c r="AE74" i="4"/>
  <c r="AR74" i="4" s="1"/>
  <c r="AE139" i="4"/>
  <c r="AR139" i="4" s="1"/>
  <c r="AE149" i="4"/>
  <c r="AR149" i="4" s="1"/>
  <c r="AE51" i="4"/>
  <c r="AR51" i="4" s="1"/>
  <c r="AE50" i="4"/>
  <c r="AR50" i="4" s="1"/>
  <c r="AE88" i="4"/>
  <c r="AR88" i="4" s="1"/>
  <c r="AE95" i="4"/>
  <c r="AR95" i="4" s="1"/>
  <c r="AE27" i="4"/>
  <c r="AR27" i="4" s="1"/>
  <c r="AE146" i="4"/>
  <c r="AR146" i="4" s="1"/>
  <c r="AE63" i="4"/>
  <c r="AR63" i="4" s="1"/>
  <c r="AE19" i="4"/>
  <c r="AR19" i="4" s="1"/>
  <c r="AE123" i="4"/>
  <c r="AR123" i="4" s="1"/>
  <c r="AE109" i="4"/>
  <c r="AR109" i="4" s="1"/>
  <c r="K51" i="6"/>
  <c r="I11" i="2"/>
  <c r="H11" i="2"/>
  <c r="G11" i="2"/>
  <c r="J11" i="2" s="1"/>
  <c r="P10" i="2"/>
  <c r="J10" i="2"/>
  <c r="O14" i="2"/>
  <c r="J14" i="2"/>
  <c r="J9" i="2"/>
  <c r="P13" i="2"/>
  <c r="J13" i="2"/>
  <c r="P8" i="2"/>
  <c r="J8" i="2"/>
  <c r="O7" i="2"/>
  <c r="J7" i="2"/>
  <c r="P6" i="2"/>
  <c r="J6" i="2"/>
  <c r="O5" i="2"/>
  <c r="J5" i="2"/>
  <c r="P4" i="2"/>
  <c r="J4" i="2"/>
  <c r="G42" i="6" l="1" a="1"/>
  <c r="G42" i="6" s="1"/>
  <c r="C42" i="6" s="1"/>
  <c r="G46" i="6" a="1"/>
  <c r="G46" i="6" s="1"/>
  <c r="C46" i="6" s="1"/>
  <c r="AR29" i="4"/>
  <c r="AR175" i="4" s="1"/>
  <c r="AE175" i="4"/>
  <c r="G45" i="6" a="1"/>
  <c r="G45" i="6" s="1"/>
  <c r="C45" i="6" s="1"/>
  <c r="AR10" i="4"/>
  <c r="AR176" i="4" s="1"/>
  <c r="AE176" i="4"/>
  <c r="G41" i="6" a="1"/>
  <c r="G41" i="6" s="1"/>
  <c r="C40" i="6"/>
  <c r="C48" i="6" s="1"/>
  <c r="AE177" i="4"/>
  <c r="AE174" i="4" a="1"/>
  <c r="AE174" i="4" s="1"/>
  <c r="AR8" i="4"/>
  <c r="G48" i="6"/>
  <c r="P11" i="2"/>
  <c r="N11" i="2"/>
  <c r="P5" i="2"/>
  <c r="N5" i="2"/>
  <c r="P7" i="2"/>
  <c r="N13" i="2"/>
  <c r="P14" i="2"/>
  <c r="N9" i="2"/>
  <c r="N7" i="2"/>
  <c r="O9" i="2"/>
  <c r="N8" i="2"/>
  <c r="O13" i="2"/>
  <c r="P9" i="2"/>
  <c r="O8" i="2"/>
  <c r="N6" i="2"/>
  <c r="O6" i="2"/>
  <c r="N10" i="2"/>
  <c r="N4" i="2"/>
  <c r="O4" i="2"/>
  <c r="N14" i="2"/>
  <c r="O10" i="2"/>
  <c r="C47" i="6" l="1"/>
  <c r="C50" i="6"/>
  <c r="G50" i="6"/>
  <c r="G47" i="6"/>
  <c r="C41" i="6"/>
  <c r="G49" i="6"/>
  <c r="AR177" i="4"/>
  <c r="AR174" i="4" a="1"/>
  <c r="AR174" i="4" s="1"/>
  <c r="G43" i="6"/>
  <c r="O11" i="2"/>
  <c r="G51" i="6" l="1"/>
  <c r="C49" i="6"/>
  <c r="C51" i="6" s="1"/>
  <c r="C54" i="6" s="1"/>
  <c r="C43" i="6"/>
  <c r="N33" i="6"/>
  <c r="N37" i="6"/>
  <c r="N41" i="6"/>
  <c r="N45" i="6"/>
  <c r="N49"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<sst xmlns="http://schemas.openxmlformats.org/spreadsheetml/2006/main" count="4445" uniqueCount="1571">
  <si>
    <t>Activité 2024</t>
  </si>
  <si>
    <t>Catégorie</t>
  </si>
  <si>
    <t>Catégorie 2</t>
  </si>
  <si>
    <t>Finess</t>
  </si>
  <si>
    <t>Raison Sociale</t>
  </si>
  <si>
    <t>Période</t>
  </si>
  <si>
    <t>Total jours</t>
  </si>
  <si>
    <t>JOUHC</t>
  </si>
  <si>
    <t>JOUHP</t>
  </si>
  <si>
    <t>Sexe ratio (% homme)</t>
  </si>
  <si>
    <t>Age moyen</t>
  </si>
  <si>
    <t>AVQ physique moyen</t>
  </si>
  <si>
    <t>AVQ relationnel moyen</t>
  </si>
  <si>
    <t>Nb moy d'actes CSARR/par journée</t>
  </si>
  <si>
    <t>Département</t>
  </si>
  <si>
    <t>Région</t>
  </si>
  <si>
    <t>Lits</t>
  </si>
  <si>
    <t>Places</t>
  </si>
  <si>
    <t>TO HC</t>
  </si>
  <si>
    <t>TO HP</t>
  </si>
  <si>
    <t>LIts vides</t>
  </si>
  <si>
    <t>Places vides</t>
  </si>
  <si>
    <t>CH</t>
  </si>
  <si>
    <t>Public</t>
  </si>
  <si>
    <t>HÔPITAL AX-LES-THERMES</t>
  </si>
  <si>
    <t>M12</t>
  </si>
  <si>
    <t>Occitanie</t>
  </si>
  <si>
    <t>CHIC DU VAL D ARIEGE</t>
  </si>
  <si>
    <t/>
  </si>
  <si>
    <t>CH ARIEGE COUSERANS</t>
  </si>
  <si>
    <t>Privé</t>
  </si>
  <si>
    <t>CLINIQUE DU SUD</t>
  </si>
  <si>
    <t>SSR LES QUATRE FONTAINES</t>
  </si>
  <si>
    <t>PSPH/EBNL</t>
  </si>
  <si>
    <t>Privé non lucratif</t>
  </si>
  <si>
    <t>SSR CENTRE DE LORDAT</t>
  </si>
  <si>
    <t>CH CASTELNAUDARY</t>
  </si>
  <si>
    <t>CH NARBONNE</t>
  </si>
  <si>
    <t>CLINIQUE SOINS DE SUITE CHRISTINA</t>
  </si>
  <si>
    <t>MAISON DE REPOS ET DE CONVALESCENCE CHT LA VERNEDE</t>
  </si>
  <si>
    <t>HÔPITAL PRIVÉ DU GRAND NARBONNE</t>
  </si>
  <si>
    <t>HL LIMOUX QUILLAN</t>
  </si>
  <si>
    <t>CH LEZIGNAN-CORBIERES</t>
  </si>
  <si>
    <t>CH FRANCIS VALS</t>
  </si>
  <si>
    <t>A.S.M.</t>
  </si>
  <si>
    <t>CH DE MILLAU</t>
  </si>
  <si>
    <t>CH EMILE BOREL</t>
  </si>
  <si>
    <t>CH RODEZ</t>
  </si>
  <si>
    <t>CH VILLEFRANCHE-DE-ROUERGUE</t>
  </si>
  <si>
    <t>CH DECAZEVILLE</t>
  </si>
  <si>
    <t>HÔPITAL ST-GENIEZ- D'OLT</t>
  </si>
  <si>
    <t>HÔPITAL D'ESPALION</t>
  </si>
  <si>
    <t>CENTRE S.S.R. LA CLAUZE</t>
  </si>
  <si>
    <t>CENTRE SSR LES TILLEULS CEIGNAC</t>
  </si>
  <si>
    <t>CENTRE MÉDICAL MAURICE FENAILLE</t>
  </si>
  <si>
    <t>HL DU VALLON SALLES LA SOURCE</t>
  </si>
  <si>
    <t>CENTRE SOINS DE SUITE LES CADIÈRES</t>
  </si>
  <si>
    <t>CENTRE MÉDICAL DE L'EGREGORE UGECAM</t>
  </si>
  <si>
    <t>GCS SSR CENTRE REEDUCAT GARD RHODANIEN</t>
  </si>
  <si>
    <t>M3</t>
  </si>
  <si>
    <t>CENTRE MÉDICAL DE L'EGREGORE AUDAVIE</t>
  </si>
  <si>
    <t>CHR/U</t>
  </si>
  <si>
    <t>CHU NIMES</t>
  </si>
  <si>
    <t>CH ALES</t>
  </si>
  <si>
    <t>CH BAGNOLS SUR CEZE</t>
  </si>
  <si>
    <t>HL PONT SAINT ESPRIT</t>
  </si>
  <si>
    <t>HL UZES</t>
  </si>
  <si>
    <t>HL LE VIGAN</t>
  </si>
  <si>
    <t>MAISON DE SANTÉ LA POMAREDE</t>
  </si>
  <si>
    <t>CLINIQUE VALDEGOUR</t>
  </si>
  <si>
    <t>MAISON DE REPOS LES CHATAIGNIERS</t>
  </si>
  <si>
    <t>MAISON DE REPOS ET DE CONVALESCENCE LES OLIVIERS</t>
  </si>
  <si>
    <t>CH PONTEILS</t>
  </si>
  <si>
    <t>MAISON DE CONVALESCENCE DOMAINE DU CROS</t>
  </si>
  <si>
    <t>A.R.A.M.A.V.</t>
  </si>
  <si>
    <t>SSR DEFICIENTS VISUELS ET BASSE VISION</t>
  </si>
  <si>
    <t>CLINIQUE SMR VAL DE SAUNE QUINT FONSEGRIVES</t>
  </si>
  <si>
    <t>CENTRE GERIATRIQUE DES MINIMES</t>
  </si>
  <si>
    <t>CLINIQUE LA RECOUVRANCE</t>
  </si>
  <si>
    <t>CLINIQUE CAPIO LA CROIX DU SUD</t>
  </si>
  <si>
    <t>HÔPITAUX DE LUCHON</t>
  </si>
  <si>
    <t>CLINIQUE MEDIPOLE GARONNE</t>
  </si>
  <si>
    <t>SA CLINIQUE DU CABIROL</t>
  </si>
  <si>
    <t>CLINIQUE MONIE</t>
  </si>
  <si>
    <t>CHATEAU DE VERNHES</t>
  </si>
  <si>
    <t>MECSS CASTELNOUVEL</t>
  </si>
  <si>
    <t>CH SAINT-GAUDENS</t>
  </si>
  <si>
    <t>HÔPITAL REVEL</t>
  </si>
  <si>
    <t>SA CLINIQUE SAINT-ROCH</t>
  </si>
  <si>
    <t>CLINIQUE BLAGNAC</t>
  </si>
  <si>
    <t>CHU TOULOUSE</t>
  </si>
  <si>
    <t>CENTRE PAUL DOTTIN</t>
  </si>
  <si>
    <t>CLINIQUE DE LAGARDELLE</t>
  </si>
  <si>
    <t>CLINIQUES DU MIDI VERDAICH</t>
  </si>
  <si>
    <t>CLINIQUE NÉPHROLOGIQUE SAINT EXUPERY</t>
  </si>
  <si>
    <t>NA</t>
  </si>
  <si>
    <t>1 à 10</t>
  </si>
  <si>
    <t>CLINIQUE SSR KORIAN ESTELA</t>
  </si>
  <si>
    <t>CRF LES CEDRES</t>
  </si>
  <si>
    <t>HL DE MURET</t>
  </si>
  <si>
    <t>CLINIQUE DES PYRENEES</t>
  </si>
  <si>
    <t>SSR DOMAINE DE LA CADENE</t>
  </si>
  <si>
    <t>CENTRE DE RÉÉDUCATION DU MIRAIL</t>
  </si>
  <si>
    <t>CLINIQUE SAINT ORENS</t>
  </si>
  <si>
    <t>MAISON DE REPOS ET DE CONVALESCENCE LE MARQUISAT</t>
  </si>
  <si>
    <t>CENTRE ANDRE BOUSQUAIROL</t>
  </si>
  <si>
    <t>ÉTABLISSEMENT PUBLIC DE SANTÉ DE LOMAGNE</t>
  </si>
  <si>
    <t>POLE REEDUC LA REVISCOLADA MONTEGUT</t>
  </si>
  <si>
    <t>CH AUCH</t>
  </si>
  <si>
    <t>CH CONDOM</t>
  </si>
  <si>
    <t>HÔPITAL GIMONT</t>
  </si>
  <si>
    <t>HÔPITAL LOMBEZ</t>
  </si>
  <si>
    <t>HÔPITAL MAUVEZIN</t>
  </si>
  <si>
    <t>CH DE MIRANDE</t>
  </si>
  <si>
    <t>HÔPITAL NOGARO</t>
  </si>
  <si>
    <t>HÔPITAL VIC-FEZENSAC</t>
  </si>
  <si>
    <t>INSTITUT SAINT PIERRE</t>
  </si>
  <si>
    <t>CENTRE ORTHOPEDIQUE MAGUELONE</t>
  </si>
  <si>
    <t>CENTRE PROPARA</t>
  </si>
  <si>
    <t>CLINIQUE DU PIC SAINT LOUP</t>
  </si>
  <si>
    <t>HL BEDARIEUX</t>
  </si>
  <si>
    <t>LES HÔPITAUX DU BASSIN DE THAU</t>
  </si>
  <si>
    <t>CRF BOURGÉS</t>
  </si>
  <si>
    <t>GCS CENTRE SMR AMBRUSSUM</t>
  </si>
  <si>
    <t>SSR JARDINS DE SOPHIA CASTELNAU LE LEZ</t>
  </si>
  <si>
    <t>CLINIQUE PLEIN SOLEIL SITE MTP</t>
  </si>
  <si>
    <t>GCS POLE READAPT AURORES MEDITERRANEE</t>
  </si>
  <si>
    <t>CH BEZIERS</t>
  </si>
  <si>
    <t>CRF LE VALD'ORB</t>
  </si>
  <si>
    <t>CRF STER LAMALOU LES BAINS</t>
  </si>
  <si>
    <t>MAISON DE REPOS LE COLOMBIER</t>
  </si>
  <si>
    <t>HL SAINT-PONS</t>
  </si>
  <si>
    <t>CHU MONTPELLIER</t>
  </si>
  <si>
    <t>HL LODEVE</t>
  </si>
  <si>
    <t>HL CLERMONT- L' HERAULT</t>
  </si>
  <si>
    <t>CLINIQUE DU SOUFFLE LA VALONIE</t>
  </si>
  <si>
    <t>CLINIQUE MUTUALISTE JEAN LEON</t>
  </si>
  <si>
    <t>CRF LE CASTELET</t>
  </si>
  <si>
    <t>MSM MAS DE ROCHET</t>
  </si>
  <si>
    <t>CRF LA PETITE PAIX</t>
  </si>
  <si>
    <t>CRF FONTFROIDE</t>
  </si>
  <si>
    <t>CRF STER</t>
  </si>
  <si>
    <t>CENTRE PAUL COSTE FLORET</t>
  </si>
  <si>
    <t>CENTRE DU MELEZET</t>
  </si>
  <si>
    <t>MAISON DE REPOS ET DE CONVALESCENCE PECH DU SOLEIL</t>
  </si>
  <si>
    <t>CENTRE MÉDICAL LA ROSERAIE</t>
  </si>
  <si>
    <t>CSSR NOTRE DAME</t>
  </si>
  <si>
    <t>SSR BEAUSEJOUR</t>
  </si>
  <si>
    <t>CLINIQUE DU QUERCY BELLEVUE</t>
  </si>
  <si>
    <t>CH FIGEAC</t>
  </si>
  <si>
    <t>CH SAINT-CERE</t>
  </si>
  <si>
    <t>CH GOURDON</t>
  </si>
  <si>
    <t>CH CAHORS</t>
  </si>
  <si>
    <t>CLINIQUE DU RELAIS</t>
  </si>
  <si>
    <t>CENTRE DE CONVALESCENCE CCA ANTRENAS</t>
  </si>
  <si>
    <t>CENTRE POST CURE ALCOOLIQUE STE MARIE</t>
  </si>
  <si>
    <t>CH MENDE</t>
  </si>
  <si>
    <t>HL FLORAC</t>
  </si>
  <si>
    <t>HL MARVEJOLS</t>
  </si>
  <si>
    <t>CENTRE POST CURE ALCOOLIQUE LE BOY</t>
  </si>
  <si>
    <t>MAISON DE REPOS LES TILLEULS</t>
  </si>
  <si>
    <t>MECSS LES ECUREUILS</t>
  </si>
  <si>
    <t>CENTRE DE MONTRODAT</t>
  </si>
  <si>
    <t>CLINIQUE ORMEAU PYRENEES</t>
  </si>
  <si>
    <t>MAISON D'ENFANTS DIETETIQUE THERMALE 2024</t>
  </si>
  <si>
    <t>CH BAGNERES-DE-BIGORRE</t>
  </si>
  <si>
    <t>CH LANNEMEZAN</t>
  </si>
  <si>
    <t>HÔPITAL LE MONTAIGU</t>
  </si>
  <si>
    <t>CENTRE MÉDICAL L'ARBIZON</t>
  </si>
  <si>
    <t>CLINIQUE ORMEAU SITE CENTRE</t>
  </si>
  <si>
    <t>CH TARBES LOURDES</t>
  </si>
  <si>
    <t>CENTRE DE CONVALESCENCE ST CHRISTOPHE</t>
  </si>
  <si>
    <t>GCS POLE SANITAIRE CERDAN</t>
  </si>
  <si>
    <t>BOUFFARD VERCELLI SITE CH PERPIGNAN</t>
  </si>
  <si>
    <t>POLE PEDIATRIQUE DE CERDAGNE HTP</t>
  </si>
  <si>
    <t>GCS PUBLIC PRIVÉ CONFLENT CH PRADES</t>
  </si>
  <si>
    <t>CLINIQUE SSR AL SOLA</t>
  </si>
  <si>
    <t>CENTRE LE VALLESPIR</t>
  </si>
  <si>
    <t>CH PERPIGNAN</t>
  </si>
  <si>
    <t>CH PRADES</t>
  </si>
  <si>
    <t>MECSS LA PERLE CERDANE</t>
  </si>
  <si>
    <t>CLINIQUE DU SOUFFLE LA SOLANE</t>
  </si>
  <si>
    <t>CRF MER AIR SOLEIL</t>
  </si>
  <si>
    <t>SAINT JOSEPH DE SUPERVALTECH</t>
  </si>
  <si>
    <t>SOLEIL CERDAN</t>
  </si>
  <si>
    <t>VAL PYRENE</t>
  </si>
  <si>
    <t>M.S.M SUNNY COTTAGE</t>
  </si>
  <si>
    <t>CRF LE FLORIDE</t>
  </si>
  <si>
    <t>CRF LA PINEDE</t>
  </si>
  <si>
    <t>REFUGE PROTESTANT</t>
  </si>
  <si>
    <t>CENTRE MUTUALISTE REEDUCATION FONCTIONNELLE</t>
  </si>
  <si>
    <t>CH GAILLAC</t>
  </si>
  <si>
    <t>CHIC CASTRES-MAZAMET</t>
  </si>
  <si>
    <t>HÔPITAL GRAULHET</t>
  </si>
  <si>
    <t>POLYCLINIQUE SAINTE BARBE</t>
  </si>
  <si>
    <t>CH LAVAUR</t>
  </si>
  <si>
    <t>CHS PIERRE JAMET ALBI</t>
  </si>
  <si>
    <t>CENTRE DE RÉADAPTATION PERSONNES AGEES</t>
  </si>
  <si>
    <t>MCR CHATEAU DE CAHUZAC</t>
  </si>
  <si>
    <t>CLINIQUE TOULOUSE LAUTREC</t>
  </si>
  <si>
    <t>CH MONTAUBAN</t>
  </si>
  <si>
    <t>CLINIQUE DU PONT DE CHAUME</t>
  </si>
  <si>
    <t>GH VALLEE QUERCY</t>
  </si>
  <si>
    <t>CH DES DEUX RIVES</t>
  </si>
  <si>
    <t>CHATEAU DE LONGUES-AYGUES</t>
  </si>
  <si>
    <t>CRF CARDIAQUES BEAUMONT DE LOMAGNE</t>
  </si>
  <si>
    <t>CLINIQUE LA PINEDE</t>
  </si>
  <si>
    <t>CHIC CASTELSARRASIN-MOISSAC</t>
  </si>
  <si>
    <t>CENTRE MIDI GASCOGNE BRESSOLS</t>
  </si>
  <si>
    <t>Values</t>
  </si>
  <si>
    <t>Sum of JOUHC</t>
  </si>
  <si>
    <t>Sum of JOUHP</t>
  </si>
  <si>
    <t>Sum of Lits</t>
  </si>
  <si>
    <t>Sum of Places</t>
  </si>
  <si>
    <t>Lits vides</t>
  </si>
  <si>
    <t>Valo sectorielle lits vides</t>
  </si>
  <si>
    <t>Valo sectorielle places vides</t>
  </si>
  <si>
    <t>Total</t>
  </si>
  <si>
    <t>Total dot pop</t>
  </si>
  <si>
    <t>Dot pop sur lits et places occupées</t>
  </si>
  <si>
    <t>Lit</t>
  </si>
  <si>
    <t>Place</t>
  </si>
  <si>
    <t>TO cible lits</t>
  </si>
  <si>
    <t>TO cible places</t>
  </si>
  <si>
    <t>Dotpop / lit et place</t>
  </si>
  <si>
    <t xml:space="preserve">Catégorie </t>
  </si>
  <si>
    <t>FHP SMR - Activité totale par établissement en Occitanie en 2024 - source scansanté activité par établissement en 2024</t>
  </si>
  <si>
    <t>ENFANTS</t>
  </si>
  <si>
    <t>TOTAL</t>
  </si>
  <si>
    <t>ADULTE</t>
  </si>
  <si>
    <t>Année</t>
  </si>
  <si>
    <t>Dép.</t>
  </si>
  <si>
    <t>N°Finess SAE</t>
  </si>
  <si>
    <t>Établissement</t>
  </si>
  <si>
    <t>N°Finess juridique</t>
  </si>
  <si>
    <t>Activité</t>
  </si>
  <si>
    <t>Nb jours de présence HC</t>
  </si>
  <si>
    <t>Nb lits installés 31/12 (HC)</t>
  </si>
  <si>
    <t>Nb journées-lits exploitables</t>
  </si>
  <si>
    <t>Tx d'occupation (HC)</t>
  </si>
  <si>
    <t>Ecart HC</t>
  </si>
  <si>
    <t>poids du pédiatrique</t>
  </si>
  <si>
    <t>2023</t>
  </si>
  <si>
    <t>31</t>
  </si>
  <si>
    <t>310780481</t>
  </si>
  <si>
    <t>MECS CASTELNOUVEL LEGUEVIN UGECAM</t>
  </si>
  <si>
    <t>340015171</t>
  </si>
  <si>
    <t>Total SMR "enfant"</t>
  </si>
  <si>
    <t>310781422</t>
  </si>
  <si>
    <t>CENTRE PAUL DOTTIN RAMONVILLE ST AGNE</t>
  </si>
  <si>
    <t>310781562</t>
  </si>
  <si>
    <t>310792874</t>
  </si>
  <si>
    <t>POUPONNIERE A BOUSQUAIROL VILLENEUVE T</t>
  </si>
  <si>
    <t>310788997</t>
  </si>
  <si>
    <t>32</t>
  </si>
  <si>
    <t>320780323</t>
  </si>
  <si>
    <t>CTRE PEDIA ST JACQUES MPR MONTEGUT</t>
  </si>
  <si>
    <t>750810590</t>
  </si>
  <si>
    <t>34</t>
  </si>
  <si>
    <t>340000025</t>
  </si>
  <si>
    <t>INSTITUT ST PIERRE PALAVAS LES FLOTS</t>
  </si>
  <si>
    <t>340022722</t>
  </si>
  <si>
    <t>340780212</t>
  </si>
  <si>
    <t>340796069</t>
  </si>
  <si>
    <t>48</t>
  </si>
  <si>
    <t>480780543</t>
  </si>
  <si>
    <t>SSR PEDIATRIQUE LES ECUREUILS ANTRENAS</t>
  </si>
  <si>
    <t>480782101</t>
  </si>
  <si>
    <t>65</t>
  </si>
  <si>
    <t>650780323</t>
  </si>
  <si>
    <t>MAISON ENF DIETETIQUE THERMALE CAPVERN</t>
  </si>
  <si>
    <t>650000128</t>
  </si>
  <si>
    <t>66</t>
  </si>
  <si>
    <t>660780321</t>
  </si>
  <si>
    <t>POLE PEDIATRIQUE CERDAGNE OSSEJA</t>
  </si>
  <si>
    <t>590799730</t>
  </si>
  <si>
    <t>FHP</t>
  </si>
  <si>
    <t>public</t>
  </si>
  <si>
    <t>FEHAP</t>
  </si>
  <si>
    <t>dotpop</t>
  </si>
  <si>
    <t>CHU Nimes ???</t>
  </si>
  <si>
    <t>Lits enf</t>
  </si>
  <si>
    <t>Places enf</t>
  </si>
  <si>
    <t>TO Lits enf</t>
  </si>
  <si>
    <t>TO places enf</t>
  </si>
  <si>
    <t>Lits vides enf</t>
  </si>
  <si>
    <t>Places vides enf</t>
  </si>
  <si>
    <t>Valo lits vides enf</t>
  </si>
  <si>
    <t>Valo places vides enf</t>
  </si>
  <si>
    <t>Total enf</t>
  </si>
  <si>
    <t>TOTAL Public</t>
  </si>
  <si>
    <t>TOTAL Privé non lucratif</t>
  </si>
  <si>
    <t>TOTAL Privé</t>
  </si>
  <si>
    <t>dot/lit</t>
  </si>
  <si>
    <t>dot/place</t>
  </si>
  <si>
    <t>Tout secteur</t>
  </si>
  <si>
    <t>Adulte</t>
  </si>
  <si>
    <t>Enfant</t>
  </si>
  <si>
    <t>Valo sectorielle Lits</t>
  </si>
  <si>
    <t>Valo sectorielle places</t>
  </si>
  <si>
    <t>TO moyen lits</t>
  </si>
  <si>
    <t>TO moyen places</t>
  </si>
  <si>
    <t>adulte</t>
  </si>
  <si>
    <t>enfant</t>
  </si>
  <si>
    <t>lits</t>
  </si>
  <si>
    <t>places</t>
  </si>
  <si>
    <r>
      <t xml:space="preserve">dot pop moyenne </t>
    </r>
    <r>
      <rPr>
        <u/>
        <sz val="11"/>
        <color theme="1"/>
        <rFont val="Aptos Narrow"/>
        <family val="2"/>
        <scheme val="minor"/>
      </rPr>
      <t>Occitanie adulte</t>
    </r>
    <r>
      <rPr>
        <sz val="11"/>
        <color theme="1"/>
        <rFont val="Aptos Narrow"/>
        <family val="2"/>
        <scheme val="minor"/>
      </rPr>
      <t xml:space="preserve"> par secteur (utilisée pour valorisation lits vides)</t>
    </r>
  </si>
  <si>
    <r>
      <t xml:space="preserve">dot pop moyenne </t>
    </r>
    <r>
      <rPr>
        <u/>
        <sz val="11"/>
        <color theme="1"/>
        <rFont val="Aptos Narrow"/>
        <family val="2"/>
        <scheme val="minor"/>
      </rPr>
      <t>Occitanie enfants</t>
    </r>
    <r>
      <rPr>
        <sz val="11"/>
        <color theme="1"/>
        <rFont val="Aptos Narrow"/>
        <family val="2"/>
        <scheme val="minor"/>
      </rPr>
      <t xml:space="preserve"> par secteur (non utilisée pour valorisation. </t>
    </r>
    <r>
      <rPr>
        <u/>
        <sz val="11"/>
        <color theme="1"/>
        <rFont val="Aptos Narrow"/>
        <family val="2"/>
        <scheme val="minor"/>
      </rPr>
      <t>Valorisation au réel des établissement</t>
    </r>
    <r>
      <rPr>
        <sz val="11"/>
        <color theme="1"/>
        <rFont val="Aptos Narrow"/>
        <family val="2"/>
        <scheme val="minor"/>
      </rPr>
      <t>s)</t>
    </r>
  </si>
  <si>
    <t>MECS</t>
  </si>
  <si>
    <t>lits vides enf calculés</t>
  </si>
  <si>
    <t>Places vides enf calculées</t>
  </si>
  <si>
    <t xml:space="preserve">Tx occup cible pour valoriser lits/places vides </t>
  </si>
  <si>
    <t>lits adultes</t>
  </si>
  <si>
    <t>places adultes</t>
  </si>
  <si>
    <t>lits enfants</t>
  </si>
  <si>
    <t>places enfants</t>
  </si>
  <si>
    <t>Source : CCAR SAE 1923</t>
  </si>
  <si>
    <t>BOR</t>
  </si>
  <si>
    <t>AN</t>
  </si>
  <si>
    <t>FI</t>
  </si>
  <si>
    <t>RS</t>
  </si>
  <si>
    <t>statut</t>
  </si>
  <si>
    <t>FI_EJ</t>
  </si>
  <si>
    <t>GDE</t>
  </si>
  <si>
    <t>AUT</t>
  </si>
  <si>
    <t>LIT</t>
  </si>
  <si>
    <t>JLI</t>
  </si>
  <si>
    <t>PLA</t>
  </si>
  <si>
    <t>SEJHC</t>
  </si>
  <si>
    <t>EMSSR</t>
  </si>
  <si>
    <t>tx occupation</t>
  </si>
  <si>
    <t>SSR</t>
  </si>
  <si>
    <t>CH SAINT LOUIS AX LES THERMES</t>
  </si>
  <si>
    <t>SSR_A</t>
  </si>
  <si>
    <t>CHIVA SITE ST JEAN DE VERGES</t>
  </si>
  <si>
    <t>CH ARIEGE COUSERANS SITE ST LIZIER</t>
  </si>
  <si>
    <t>CHIVA SITE LAVELANET</t>
  </si>
  <si>
    <t>CH JP CASSABEL CASTELNAUDARY</t>
  </si>
  <si>
    <t>CH LIMOUX QUILLAN SITE DE LIMOUX</t>
  </si>
  <si>
    <t>CH LEZIGNAN CORBIERES</t>
  </si>
  <si>
    <t>CH FRANCIS VALS PORT LA NOUVELLE</t>
  </si>
  <si>
    <t>CL DU SUD CARCASSONNE</t>
  </si>
  <si>
    <t>Privé lucratif</t>
  </si>
  <si>
    <t>LES QUATRE FONTAINES KORIAN NARBONNE</t>
  </si>
  <si>
    <t>SSR GERIATRIE CH NARBONNE</t>
  </si>
  <si>
    <t>SSR CTRE LORDAT CASTELNAUDARY</t>
  </si>
  <si>
    <t>CL CHRISTINA CHALABRE</t>
  </si>
  <si>
    <t>CL KORIAN LA VERNEDE</t>
  </si>
  <si>
    <t>HOPITAL PRIVE DU GRAND NARBONNE</t>
  </si>
  <si>
    <t>CH LIMOUX QUILLAN SITE DE QUILLAN</t>
  </si>
  <si>
    <t>SSR LIMOUX ARAGOU LES TILLEULS USSAP</t>
  </si>
  <si>
    <t>CH PIERRE DELPECH DECAZEVILLE</t>
  </si>
  <si>
    <t>CH ETIENNE RIVIE ST GENIEZ D'OLT</t>
  </si>
  <si>
    <t>CHI ESPALION ST LAURENT D'OLT</t>
  </si>
  <si>
    <t>CH MAURICE FENAILLE SEVERAC LE CHATEAU</t>
  </si>
  <si>
    <t>CHI VALLON SALLES LA SOURCE</t>
  </si>
  <si>
    <t>CH EMILE BOREL ST AFFRIQUE</t>
  </si>
  <si>
    <t>SSR SITE STE ANNE CH MILLAU</t>
  </si>
  <si>
    <t>SSR CH VILLEFRANCHE SITE RULHE</t>
  </si>
  <si>
    <t>CTRE SSR LA CLAUZE ST JEAN DELNOUS</t>
  </si>
  <si>
    <t>CTRE SSR LES TILLEULS CEIGNAC</t>
  </si>
  <si>
    <t>CH RODEZ SITE LES PEYRIERES OLEMPS</t>
  </si>
  <si>
    <t>CH ALES CEVENNES</t>
  </si>
  <si>
    <t>CH BEAUCAIRE</t>
  </si>
  <si>
    <t>CH PONT ST ESPRIT</t>
  </si>
  <si>
    <t>CH UZES</t>
  </si>
  <si>
    <t>CH LE VIGAN</t>
  </si>
  <si>
    <t>CH LES CHATAIGNIERS PONTEILS</t>
  </si>
  <si>
    <t>SSR LES CADIERES ST PRIVAT DES VIEUX</t>
  </si>
  <si>
    <t>CTRE MED L'EGREGORE CAVEIRAC UGECAM</t>
  </si>
  <si>
    <t>GCS CTRE REEDUC GARD RHODANIEN BAGNOLS</t>
  </si>
  <si>
    <t>CTRE MED L'EGREGORE CAVEIRAC AUDAVIE</t>
  </si>
  <si>
    <t>SSR LA POMAREDE FILIERIS SALLES DU GA</t>
  </si>
  <si>
    <t>CL VALDEGOUR NIMES</t>
  </si>
  <si>
    <t>CTRE SSR LES CHATAIGNIERS MOLIERES CAV</t>
  </si>
  <si>
    <t>CL LES OLIVIERS GALLARGUES</t>
  </si>
  <si>
    <t>CTRE SSR DOMAINE DU CROS QUISSAC</t>
  </si>
  <si>
    <t>CHU NIMES CAREMEAU</t>
  </si>
  <si>
    <t>CTRE SOINS PA SERRE CAVALIER CHU NIMES</t>
  </si>
  <si>
    <t>CENTRE MEDICAL GRAU DU ROI CHU NIMES</t>
  </si>
  <si>
    <t>INSTITUT REINS AVEUGLES ARAMAV NIMES</t>
  </si>
  <si>
    <t>CTRE CONVAL GERONTO HOPITAUX DE LUCHON</t>
  </si>
  <si>
    <t>CH COMMINGES PYRENEES SITE ST PLANCARD</t>
  </si>
  <si>
    <t>CH REVEL</t>
  </si>
  <si>
    <t>CH MURET</t>
  </si>
  <si>
    <t>SSR BASSE VISION A MATHIS ST GAUDENS</t>
  </si>
  <si>
    <t>HOPITAL LARREY CHU TOULOUSE</t>
  </si>
  <si>
    <t>CL SMR VAL DE SAUNE QUINT FONSEGRIVES</t>
  </si>
  <si>
    <t>CL DES MINIMES TOULOUSE</t>
  </si>
  <si>
    <t>HOPITAL GARONNE CHU TOULOUSE</t>
  </si>
  <si>
    <t>CL LA RECOUVRANCE</t>
  </si>
  <si>
    <t>CL CAPIO LA CROIX DU SUD QUINT FONSEGR</t>
  </si>
  <si>
    <t>CL MEDIPOLE GARONNE TOULOUSE</t>
  </si>
  <si>
    <t>CL DU CABIROL COLOMIERS</t>
  </si>
  <si>
    <t>CL MONIE VILLEFRANCHE DE LAURAGAIS</t>
  </si>
  <si>
    <t>CL DU CHATEAU DE VERNHES BONDIGOUX</t>
  </si>
  <si>
    <t>CL ST ROCH FRONTON</t>
  </si>
  <si>
    <t>CL BLAGNAC</t>
  </si>
  <si>
    <t>POLYCL MEDICALE DE LA LEZE</t>
  </si>
  <si>
    <t>CL DE VERDAICH GAILLAC TOULZA</t>
  </si>
  <si>
    <t>CL NEPHRO ST EXUPERY TOULOUSE</t>
  </si>
  <si>
    <t>CRF LA FONTAINE SALEE CHU TOULOUSE</t>
  </si>
  <si>
    <t>CL SSR KORIAN ESTELA TOULOUSE</t>
  </si>
  <si>
    <t>HOPITAL DE RANGUEIL CHU TOULOUSE</t>
  </si>
  <si>
    <t>CRF LES HOPITAUX DE LUCHON</t>
  </si>
  <si>
    <t>CRF LES GRANDS CEDRES CORNEBARRIEU</t>
  </si>
  <si>
    <t>CL DES PYRENEES COLOMIERS</t>
  </si>
  <si>
    <t>SSR DOMAINE DE LA CADENE TOULOUSE</t>
  </si>
  <si>
    <t>CTRE DE REEDUCATION DU MIRAIL TOULOUSE</t>
  </si>
  <si>
    <t>CL ST ORENS SAINT ORENS DE GAMEVILLE</t>
  </si>
  <si>
    <t>ETAB DE SOINS DE SUITE LE MARQUISAT</t>
  </si>
  <si>
    <t>CH AUCH EN GASCOGNE</t>
  </si>
  <si>
    <t>EPS LOMAGNE SITE DE FLEURANCE</t>
  </si>
  <si>
    <t>CH GIMONT</t>
  </si>
  <si>
    <t>CHI LOMBEZ SAMATAN</t>
  </si>
  <si>
    <t>CH DE MAUVEZIN</t>
  </si>
  <si>
    <t>CH MIRANDE</t>
  </si>
  <si>
    <t>CH NOGARO</t>
  </si>
  <si>
    <t>CH DE VIC FEZENSAC</t>
  </si>
  <si>
    <t>POLE DE SANTE LA REVISCOLADA MONTEGUT</t>
  </si>
  <si>
    <t>CH ST PONS DE THOMIERES</t>
  </si>
  <si>
    <t>CH LODEVE</t>
  </si>
  <si>
    <t>HOPITAL ST CLAIR HBT SETE</t>
  </si>
  <si>
    <t>CH CLERMONT L'HERAULT</t>
  </si>
  <si>
    <t>CTRE ORTHOPEDIQUE MAGUELONE CASTELNAU</t>
  </si>
  <si>
    <t>CENTRE MUTUALISTE NEUROLOGIQUE PROPARA</t>
  </si>
  <si>
    <t>CTRE SPEC HAUT LANGUEDOC CH ST PONS</t>
  </si>
  <si>
    <t>CENTRE ANTONIN BALMES CHU MONTPELLIER</t>
  </si>
  <si>
    <t>CL PIC ST LOUP ST CLEMENT DE RIVIERE</t>
  </si>
  <si>
    <t>SSR CH BEZIERS</t>
  </si>
  <si>
    <t>CRF BOURGES CASTELNAU LE LEZ</t>
  </si>
  <si>
    <t>GCS CENTRE SMR AMBRUSSUM LUNEL</t>
  </si>
  <si>
    <t>CL PLEIN SOLEIL MONTPELLIER</t>
  </si>
  <si>
    <t>CRF LE VAL D'ORB BOUJAN SUR LIBRON</t>
  </si>
  <si>
    <t>CH PAUL COSTE FLORET LAMALOU LES BAINS</t>
  </si>
  <si>
    <t>MR LE COLOMBIER LAMALOU LES BAINS</t>
  </si>
  <si>
    <t>HOPITAL ST LOUP AGDE HBT</t>
  </si>
  <si>
    <t>CH BEDARIEUX</t>
  </si>
  <si>
    <t>CL DU SOUFFLE LA VALLONIE LODEVE</t>
  </si>
  <si>
    <t>CL MUT JEAN LEON LA GRANDE MOTTE</t>
  </si>
  <si>
    <t>CL LE CASTELET ST JEAN DE VEDAS</t>
  </si>
  <si>
    <t>CL DU MAS DE ROCHET CASTELNAU LE LEZ</t>
  </si>
  <si>
    <t>CRF LA PETITE PAIX LAMALOU LES BAINS</t>
  </si>
  <si>
    <t>HOPITAL LAPEYRONIE CHU MONTPELLIER</t>
  </si>
  <si>
    <t>CL FONTFROIDE MONTPELLIER</t>
  </si>
  <si>
    <t>USLD LES PERGOLINES SETE HBT</t>
  </si>
  <si>
    <t>CRF STER ST CLEMENT DE RIVIERE</t>
  </si>
  <si>
    <t>CENTRE DU MELEZET MONTPELLIER</t>
  </si>
  <si>
    <t>CTRE SSR LE PECH DU SOLEIL BOUJAN S/L</t>
  </si>
  <si>
    <t>CH ST JACQUES ST CERE</t>
  </si>
  <si>
    <t>CRF LA ROSERAIE MONTFAUCON</t>
  </si>
  <si>
    <t>CH JEAN COULON GOURDON</t>
  </si>
  <si>
    <t>CH JEAN ROUGIER CAHORS</t>
  </si>
  <si>
    <t>CSSR NOTRE DAME BRETENOUX</t>
  </si>
  <si>
    <t>SSR BEAUSEJOUR MERCUES</t>
  </si>
  <si>
    <t>CH FIGEAC SITE FONT REDONDE</t>
  </si>
  <si>
    <t>CL DU QUERCY SSR BELLEVUE CAHORS</t>
  </si>
  <si>
    <t>CL DU RELAIS CAILLAC</t>
  </si>
  <si>
    <t>CH DE FLORAC TROIS RIVIERES</t>
  </si>
  <si>
    <t>CH ST JACQUES MARVEJOLS</t>
  </si>
  <si>
    <t>SSR SPECIALISE EN PNEUMOLOGIE ANTRENAS</t>
  </si>
  <si>
    <t>CTRE POSTCURE ALC STE MARIE CANOURGUE</t>
  </si>
  <si>
    <t>CENTRE POST CURE LE BOY LANUEJOLS</t>
  </si>
  <si>
    <t>SSR HOPITAL LOZERE SITE VALLEE DU LOT</t>
  </si>
  <si>
    <t>MAISON DE REPOS LES TILLEULS MARVEJOLS</t>
  </si>
  <si>
    <t>CRF DE MONTRODAT</t>
  </si>
  <si>
    <t>CH BAGNERES DE BIGORRE</t>
  </si>
  <si>
    <t>CH LE MONTAIGU ASTUGUE</t>
  </si>
  <si>
    <t>POLYCL L'ORMEAU SITE PYRENEES TARBES</t>
  </si>
  <si>
    <t>SSR SITE LABASTIDE CH LOURDES</t>
  </si>
  <si>
    <t>CH TARBES LOURDES SITE AYGUEROTE</t>
  </si>
  <si>
    <t>CH TARBES LOURDES FOURCADE SITE VIC</t>
  </si>
  <si>
    <t>CSSR MGEN L'ARBIZON BAGNERE DE BIGORRE</t>
  </si>
  <si>
    <t>POLYCL L'ORMEAU SITE CENTRE TARBES</t>
  </si>
  <si>
    <t>CTRE CONVALESCENCE ST CHRISTOPHE PERPI</t>
  </si>
  <si>
    <t>GCS POLE SANITAIRE CERDAN ERR</t>
  </si>
  <si>
    <t>PSR BOUFFARD VERCELLI SITE CHPERPIGNAN</t>
  </si>
  <si>
    <t>SSR CL AL SOLA MONTBOLO</t>
  </si>
  <si>
    <t>CSSR LE VALLESPIR LE BOULOU</t>
  </si>
  <si>
    <t>CL DU SOUFFLE LA SOLANE OSSEJA</t>
  </si>
  <si>
    <t>CRF MER AIR SOLEIL COLLIOURE</t>
  </si>
  <si>
    <t>CL ST JOSEPH DE SUPERVALTECH ST ESTEVE</t>
  </si>
  <si>
    <t>SSR SOLEIL CERDAN OSSEJA</t>
  </si>
  <si>
    <t>CL VAL PYRENE FONT ROMEU</t>
  </si>
  <si>
    <t>CL SSR SUNNY COTTAGE AMELIE LES BAINS</t>
  </si>
  <si>
    <t>CRF LE FLORIDE LE BARCARES</t>
  </si>
  <si>
    <t>CL LA PINEDE ST ESTEVE</t>
  </si>
  <si>
    <t>SSR LE REFUGE PROTESTANT MAZAMET</t>
  </si>
  <si>
    <t>CENTRE MUTUALISTE RF ALBI</t>
  </si>
  <si>
    <t>POLYCLI FILIERIS STE BARBE CARMAUX</t>
  </si>
  <si>
    <t>CH GRAULHET</t>
  </si>
  <si>
    <t>CHIC CASTRES MAZAMET SITE MAZAMET</t>
  </si>
  <si>
    <t>CH LAVAUR SITE GUIRAUD</t>
  </si>
  <si>
    <t>CENTRE CRPA VALENCE D'ALBIGEOIS</t>
  </si>
  <si>
    <t>CL SSR KORIAN LE CHATEAU CAHUZAC</t>
  </si>
  <si>
    <t>CHIC CASTRES MAZAMET SITE MONGES CASTR</t>
  </si>
  <si>
    <t>CL TOULOUSE LAUTREC ALBI</t>
  </si>
  <si>
    <t>CHI CASTELSARRASIN MOISSAC SITE CASTE</t>
  </si>
  <si>
    <t>CL DE LONGUES AYGUES NEGREPELISSE</t>
  </si>
  <si>
    <t>CH TURENNE NEGREPELISSE</t>
  </si>
  <si>
    <t>CH DES DEUX RIVES VALENCE D'AGEN</t>
  </si>
  <si>
    <t>CTRE MIDI GASCOGNE BEAUMONT DE LOMAGNE</t>
  </si>
  <si>
    <t>CL SSR LA PINEDE ST NAUPHARY</t>
  </si>
  <si>
    <t>TO places ad</t>
  </si>
  <si>
    <t>7,25</t>
  </si>
  <si>
    <t>écart</t>
  </si>
  <si>
    <t>C1 2024 =</t>
  </si>
  <si>
    <t xml:space="preserve">C3 2024 = </t>
  </si>
  <si>
    <t>diffusion ARS 200525</t>
  </si>
  <si>
    <t>CR 1 ou 2</t>
  </si>
  <si>
    <t>CR 2 ou 3</t>
  </si>
  <si>
    <t>Total DP 2024 (janv/fev.25 RAA9a43)</t>
  </si>
  <si>
    <t>écart ARS / C1</t>
  </si>
  <si>
    <t>TOTAL OCCITANIE</t>
  </si>
  <si>
    <t>FINESS ARS</t>
  </si>
  <si>
    <t>FINESS</t>
  </si>
  <si>
    <t>etabl</t>
  </si>
  <si>
    <t>Ville</t>
  </si>
  <si>
    <t>Dotation populationnelle non ciblée (socle=T0)</t>
  </si>
  <si>
    <t>Dotation populationnelle non ciblée (évol. Périm 23/S1 24)</t>
  </si>
  <si>
    <t>NAT - Ajustement dotations populationnelles SMR</t>
  </si>
  <si>
    <t>TOTAL DP 2024 déléguée en C3</t>
  </si>
  <si>
    <t>dotation adulte</t>
  </si>
  <si>
    <t>Dotation pédiatrique</t>
  </si>
  <si>
    <t>Dotation transition</t>
  </si>
  <si>
    <t>TOTAL délégués en déc.24</t>
  </si>
  <si>
    <t>ARS DOTATION POPULATIONNELLE ET PEDIATRIQUE
SMR 2024</t>
  </si>
  <si>
    <t>écart ARS / DPdec24</t>
  </si>
  <si>
    <t>en €</t>
  </si>
  <si>
    <t>en%</t>
  </si>
  <si>
    <t>MEO</t>
  </si>
  <si>
    <t>090000019 - CH Ax les Thermes</t>
  </si>
  <si>
    <t>Saint-Jean-de-Verges</t>
  </si>
  <si>
    <t>EPS</t>
  </si>
  <si>
    <t>090000175 - CHIVA</t>
  </si>
  <si>
    <t>090000183 - CH Ariège Couserans</t>
  </si>
  <si>
    <t>Saint-Lizier</t>
  </si>
  <si>
    <t>110003118 - CLINIQUE DU SUD</t>
  </si>
  <si>
    <t>Carcassonne</t>
  </si>
  <si>
    <t>EBL</t>
  </si>
  <si>
    <t>110004942 - SSR LES QUATRE FONTAINES</t>
  </si>
  <si>
    <t>Narbonne</t>
  </si>
  <si>
    <t>110007630 - SSR Centre de Lordat</t>
  </si>
  <si>
    <t>Castelnaudary</t>
  </si>
  <si>
    <t>EBNL</t>
  </si>
  <si>
    <t>110000049 - CH Castelnaudary</t>
  </si>
  <si>
    <t>110000056 - CH Narbonne</t>
  </si>
  <si>
    <t>110780194 - CLINIQUE SOINS DE SUITE CHRISTINA</t>
  </si>
  <si>
    <t>Lavelanet</t>
  </si>
  <si>
    <t>110780202 - KORIAN LA VERNEDE</t>
  </si>
  <si>
    <t>110780228 - HOPITAL PRIVE DU GRAND NARBONNE</t>
  </si>
  <si>
    <t>110000189 - CH Limoux Quillan site Limoux</t>
  </si>
  <si>
    <t>110000247 - CH Lézignan Corbières</t>
  </si>
  <si>
    <t>110000262 - CH Port la Nouvelle</t>
  </si>
  <si>
    <t>110785516 - USSAP ASM</t>
  </si>
  <si>
    <t>Perpignan</t>
  </si>
  <si>
    <t>120004569 - CH Millau</t>
  </si>
  <si>
    <t>Millau</t>
  </si>
  <si>
    <t>120004668 - CH Emile Borel</t>
  </si>
  <si>
    <t>Saint-Affrique</t>
  </si>
  <si>
    <t>120000039 - CH Rodez</t>
  </si>
  <si>
    <t>Rodez</t>
  </si>
  <si>
    <t>120000054 - Centre Hospitalier Villefranche de Rouergue</t>
  </si>
  <si>
    <t>Villefranche-de-Rouergue</t>
  </si>
  <si>
    <t>120000070 - Centre Hospitalier Decazeville</t>
  </si>
  <si>
    <t>Decazeville</t>
  </si>
  <si>
    <t>120000088 - Centre Hospitalier Saint Geniez d'Olt</t>
  </si>
  <si>
    <t>120000096 - Centre Hospitalier d'Espalion</t>
  </si>
  <si>
    <t>120780135 - CSSR la Clauze</t>
  </si>
  <si>
    <t>Albi</t>
  </si>
  <si>
    <t>120780143 - CSSR les Tilleuls</t>
  </si>
  <si>
    <t>120000153 - Centre Hospitalier Maurice Fenaille</t>
  </si>
  <si>
    <t>120000237 - CH Vallon Salles la Source</t>
  </si>
  <si>
    <t>300002169 - Centre de Soins de Suite les Cadières</t>
  </si>
  <si>
    <t>Alès</t>
  </si>
  <si>
    <t>300012358 - Centre Médical de l'Egrégore UGECAM</t>
  </si>
  <si>
    <t>Nîmes</t>
  </si>
  <si>
    <t>(2635) 30/10/19 Transformation de 30 HC poly en 20 HC PAP (ok) + 10 HTP PAP (refus)</t>
  </si>
  <si>
    <t>300017423 - Centre Médical de l'Egrégore Audavie</t>
  </si>
  <si>
    <t>300782117 - CHU Nîmes</t>
  </si>
  <si>
    <t>300000023 - CH Alès-Cévennes</t>
  </si>
  <si>
    <t>300000031 - CH Bagnols sur Cèze</t>
  </si>
  <si>
    <t>Bagnols-sur-Cèze</t>
  </si>
  <si>
    <t>300000056 - CH Pont Saint Esprit</t>
  </si>
  <si>
    <t>(3110) extension capacitaire (20 poly + 10gériatrie)</t>
  </si>
  <si>
    <t>300000064 - CH Uzès</t>
  </si>
  <si>
    <t>(3012) création de 10 lits à compter de 2022</t>
  </si>
  <si>
    <t>300000072 - CH le Vigan</t>
  </si>
  <si>
    <t>Ganges</t>
  </si>
  <si>
    <t>300780111 - Maison de Santé la Pomarède</t>
  </si>
  <si>
    <t>300780285 - Polyclinique VALDEGOUR Site VALDEGOUR</t>
  </si>
  <si>
    <t>300780442 - CSSR LES CHATAIGNIERS</t>
  </si>
  <si>
    <t>300780491 - CLINIQUE LES OLIVIERS</t>
  </si>
  <si>
    <t>Lunel</t>
  </si>
  <si>
    <t>300000478 - CH Ponteils</t>
  </si>
  <si>
    <t>300781440 - Maison de Convalescence Domaine du Cros</t>
  </si>
  <si>
    <t>300786274 - Institut ARAMAV</t>
  </si>
  <si>
    <t>310014329 - SSR Déficients visuels</t>
  </si>
  <si>
    <t>Saint-Gaudens</t>
  </si>
  <si>
    <t>310020938 - CLINIQUE SMR VAL DE SAUNE</t>
  </si>
  <si>
    <t>Toulouse</t>
  </si>
  <si>
    <t>310021571 - CENTRE GERIATRIQUE DES MINIMES</t>
  </si>
  <si>
    <t>310023007 - CLINIQUE LA RECOUVRANCE</t>
  </si>
  <si>
    <t>310026927 - CL CAPIO LA CROIX DU SUD</t>
  </si>
  <si>
    <t>310784558 - Hôpitaux de Luchon</t>
  </si>
  <si>
    <t>310780150 - Clinique MEDIPOLE GARONNE</t>
  </si>
  <si>
    <t>310780234 - Clinique du CABIROL</t>
  </si>
  <si>
    <t>310780366 - CLINIQUE  MONIE</t>
  </si>
  <si>
    <t>HC / HDJ ?</t>
  </si>
  <si>
    <t>310780374 - CLINIQUE DU CHATEAU DE VERNHES</t>
  </si>
  <si>
    <t>Montauban</t>
  </si>
  <si>
    <t>?</t>
  </si>
  <si>
    <t>310000310 - CH Saint-Gaudens</t>
  </si>
  <si>
    <t>310000336 - Ch Revel</t>
  </si>
  <si>
    <t>Castres</t>
  </si>
  <si>
    <t>DUCUING / REED DU MIRAIL TLS</t>
  </si>
  <si>
    <t>310781125 - CLINIQUE SAINT ROCH</t>
  </si>
  <si>
    <t>310781174 - CLINIQUE DE BLAGNAC</t>
  </si>
  <si>
    <t>(3080) création 5 places</t>
  </si>
  <si>
    <t>310000484 - CHU Toulouse</t>
  </si>
  <si>
    <t>310781422 - Centre Paul Dottin</t>
  </si>
  <si>
    <t>310781695 - Polyclinique médicale de la LEZE</t>
  </si>
  <si>
    <t>310781984 - CLINIQUE DE VERDAICH</t>
  </si>
  <si>
    <t>310782016 - CLINIQUE NEPHRO SAINT EXUPERY</t>
  </si>
  <si>
    <t>310782396 - CLINIQUE SSR ESTELA</t>
  </si>
  <si>
    <t>310784830 - CRF LES GRANDS CEDRES</t>
  </si>
  <si>
    <t>310013628 - CH Muret</t>
  </si>
  <si>
    <t>310786389 - CLINIQUE DES PYRENEES</t>
  </si>
  <si>
    <t>310786702 - SSR Domaine de la Cadène</t>
  </si>
  <si>
    <t>310790472 - CLINIQUE SAINT-ORENS ST ORENS GAMEVILL</t>
  </si>
  <si>
    <t>310792635 - ETAB DE SOINS DE SUITE LE MARQUISAT</t>
  </si>
  <si>
    <t>310792874 - Pouponnière Bousquairol</t>
  </si>
  <si>
    <t>320000110 - EPS LOMAGNE SITE DE FLEURANCE</t>
  </si>
  <si>
    <t>Auch</t>
  </si>
  <si>
    <t>320004930 - POLE REEDUC LA REVISCOLADA MONTEGUT</t>
  </si>
  <si>
    <t>320000086 - CH Auch</t>
  </si>
  <si>
    <t>320000102 - CH Condom</t>
  </si>
  <si>
    <t>Condom</t>
  </si>
  <si>
    <t>320000128 - CH Gimont</t>
  </si>
  <si>
    <t>320000144 - CH Lombez</t>
  </si>
  <si>
    <t>320000151 - CH Mauvezin</t>
  </si>
  <si>
    <t>320000169 - CH Mirande</t>
  </si>
  <si>
    <t>320000177 - CH Nogaro</t>
  </si>
  <si>
    <t>Aire-sur-l'Adour</t>
  </si>
  <si>
    <t>320000185 - CH Vic-Fezensac</t>
  </si>
  <si>
    <t>320780323 - Centre Pédiatrique Saint Jacques</t>
  </si>
  <si>
    <t>340000025 - Institut Saint Pierre</t>
  </si>
  <si>
    <t>Montpellier</t>
  </si>
  <si>
    <t>340000439 - Centre Orthopédique Maguelone</t>
  </si>
  <si>
    <t>(2732) extension capacitaire</t>
  </si>
  <si>
    <t>340001064 - Centre Neurologique Propara</t>
  </si>
  <si>
    <t>340009018 - CLINIQUE DU PIC SAINT LOUP</t>
  </si>
  <si>
    <t>340780444 - CH Bédarieux</t>
  </si>
  <si>
    <t>Bédarieux</t>
  </si>
  <si>
    <t>340000223 - Hôpitaux du Bassin de Thau</t>
  </si>
  <si>
    <t>Sète</t>
  </si>
  <si>
    <t>340019090 - CRF BOURGÉS</t>
  </si>
  <si>
    <t>340023258 - GCS CENTRE SMR AMBRUSSUM</t>
  </si>
  <si>
    <t>340024512 - Les JARDINS DE SOPHIA</t>
  </si>
  <si>
    <t>340024546 - CL PLEIN SOLEIL SITE MTP</t>
  </si>
  <si>
    <t>340027887 - GCS AURORES MEDITERRANEE</t>
  </si>
  <si>
    <t>*</t>
  </si>
  <si>
    <t>340000033 - CH Béziers</t>
  </si>
  <si>
    <t>Béziers</t>
  </si>
  <si>
    <t>(3081) extension capacitaire de 12 lits</t>
  </si>
  <si>
    <t>340780196 - CRF LE VAL D'ORB</t>
  </si>
  <si>
    <t>(2670) création cardio (pas d'activité détaillée)</t>
  </si>
  <si>
    <t>340780212 - CRF Ster à Lamalou les Bains</t>
  </si>
  <si>
    <t>340780253 - MAISON DE REPOS LE COLOMBIER</t>
  </si>
  <si>
    <t>340000181 - CH Saint-Pons-de-Thomières</t>
  </si>
  <si>
    <t>340785161 - CHU Montpellier</t>
  </si>
  <si>
    <t>340000215 - CH Lodève</t>
  </si>
  <si>
    <t>340000249 - CH Clermont l'Hérault</t>
  </si>
  <si>
    <t>Pézenas</t>
  </si>
  <si>
    <t>340780568 - CLINIQUE DU SOUFFLE LA VALLONIE</t>
  </si>
  <si>
    <t>340780816 - clinique Mutualiste Jean Léon</t>
  </si>
  <si>
    <t>340780857 - CLINIQUE LE  CASTELET</t>
  </si>
  <si>
    <t>340781608 - Clinique le Mas de Rochet</t>
  </si>
  <si>
    <t>340782002 - CRF LA PETITE PAIX</t>
  </si>
  <si>
    <t>(2661) création 15 places</t>
  </si>
  <si>
    <t>340789981 - CLINIQUE FONTFROIDE</t>
  </si>
  <si>
    <t>340796093 - CRF Ster à St Clément de Rivière</t>
  </si>
  <si>
    <t>340780220 - CH Paul Coste Floret Lamalou les Bains</t>
  </si>
  <si>
    <t>340797596 - SSR Le MELEZET</t>
  </si>
  <si>
    <t>340798552 - CENTRE CONVALESCENCE LE PECH DU SOLEIL</t>
  </si>
  <si>
    <t>460000060 - Centre Médical la Roseraie</t>
  </si>
  <si>
    <t>Gourdon</t>
  </si>
  <si>
    <t>460006349 - SSR BEAUSEJOUR</t>
  </si>
  <si>
    <t>Cahors</t>
  </si>
  <si>
    <t>460780042 - CLINIQUE DU QUERCY BELLEVUE</t>
  </si>
  <si>
    <t>460000045 - CH Figeac</t>
  </si>
  <si>
    <t>Figeac</t>
  </si>
  <si>
    <t>??? = fin de délégation fontredonde (=isopérimètre)</t>
  </si>
  <si>
    <t>460000052 - CH Saint Céré</t>
  </si>
  <si>
    <t>Saint-Céré</t>
  </si>
  <si>
    <t>460000102 - CH Gourdon</t>
  </si>
  <si>
    <t>460000110 - CH Cahors</t>
  </si>
  <si>
    <t>CHS LEYME / NOTRE DAME BRETENOUX</t>
  </si>
  <si>
    <t>460785900 - Clinique du RELAIS</t>
  </si>
  <si>
    <t>480000793 - SSR Pneumologie Antrenas</t>
  </si>
  <si>
    <t>Mende</t>
  </si>
  <si>
    <t>480000835 - Centre de Post-Cure Sainte Marie</t>
  </si>
  <si>
    <t>480000041 - CH Florac</t>
  </si>
  <si>
    <t>480000066 - Centre Hospitalier Marvejols</t>
  </si>
  <si>
    <t>480780212 - Centre Post-Cure Alcoolique le Boy</t>
  </si>
  <si>
    <t>480780287 - Maison de Repos les Tilleuls</t>
  </si>
  <si>
    <t>480783034 - CRF Montrodat</t>
  </si>
  <si>
    <t>650002579 - CLINIQUE ORMEAU PYRENEES</t>
  </si>
  <si>
    <t>Tarbes</t>
  </si>
  <si>
    <t>650000052 - CH Bagnères-Bigorre</t>
  </si>
  <si>
    <t>Bagnères-de-Bigorre</t>
  </si>
  <si>
    <t>650000060 - CH Lannemezan</t>
  </si>
  <si>
    <t>Lannemezan</t>
  </si>
  <si>
    <t xml:space="preserve">28/11/2017 Création HC PAP pour unité de 20 lits (dont 2 LISP) par conversion de 20 lits USLD. Extension capacitaire ? </t>
  </si>
  <si>
    <t>650000078 - Hôpital le Montaigu</t>
  </si>
  <si>
    <t>650780398 - Centre Médical l'Arbizon</t>
  </si>
  <si>
    <t>650780679 - POLYCLINIQUE DE L'ORMEAU</t>
  </si>
  <si>
    <t>650000417 - CH Tarbes-Lourdes</t>
  </si>
  <si>
    <t>Lourdes</t>
  </si>
  <si>
    <t>660005166 - CTRE DE CONVALESCENCE SAINT-CHRISTOPHE</t>
  </si>
  <si>
    <t>2685) création avec PAP (pas d'activité détaillée pour poly)</t>
  </si>
  <si>
    <t>660009689 - GCS Pôle Sanitaire Cerdan</t>
  </si>
  <si>
    <t>Puigcerdà</t>
  </si>
  <si>
    <t>660010174 - Pôle Santé du Roussillon site Bouffard-Vercelli</t>
  </si>
  <si>
    <t>660013087 - GCS Public Privé Conflent CH Prades</t>
  </si>
  <si>
    <t>Prades</t>
  </si>
  <si>
    <t>regul DP péd</t>
  </si>
  <si>
    <t>660780099 - MAISON CONVALESCENCE ET REPOS AL SOLA</t>
  </si>
  <si>
    <t>Céret</t>
  </si>
  <si>
    <t>660780156 - CSSR le Vallespir</t>
  </si>
  <si>
    <t>660000084 - Centre Hospitalier Perpignan</t>
  </si>
  <si>
    <t>(3128) transfert vers CGR avec réactivation de 38 lits papiers (pas d'activité SAE 20-22)</t>
  </si>
  <si>
    <t>660780347 - CLINIQUE DU SOUFFLE LA SOLANE</t>
  </si>
  <si>
    <t>660780636 - CRF MER AIR SOLEIL</t>
  </si>
  <si>
    <t>660780743 - SAINT JOSEPH DE SUPERVALTECH</t>
  </si>
  <si>
    <t>(2961) création 5 places (pour 6048 venues par an)</t>
  </si>
  <si>
    <t>660780800 - SSR Le SOLEIL CERDAN</t>
  </si>
  <si>
    <t>(3112) conversion 8 lits Respi en 8 poly (isopérimètre)</t>
  </si>
  <si>
    <t>660780842 - VAL PYRENE</t>
  </si>
  <si>
    <t>660781097 - MAISON DE CONVALESCENCE SUNNY COTTAGE</t>
  </si>
  <si>
    <t>660781287 - CRF CENTRE HELIO MARIN LE FLORIDE</t>
  </si>
  <si>
    <t>660790163 - SSR LA PINEDE</t>
  </si>
  <si>
    <t>810000158 - Clinique le Refuge Protestant</t>
  </si>
  <si>
    <t>810000232 - Centre Mutualiste de Rééducation Fonctionnelle</t>
  </si>
  <si>
    <t>(3083) extension de 20 lits</t>
  </si>
  <si>
    <t xml:space="preserve">810000513 - Centre Hospitalier Gaillac </t>
  </si>
  <si>
    <t>810000521 - Centre Hospitalier Intercommunal Castres-Mazamet</t>
  </si>
  <si>
    <t>810000539 - Centre Hospitalier Graulhet</t>
  </si>
  <si>
    <t>Lavaur</t>
  </si>
  <si>
    <t>810000448 - Polyclinique Sainte Barbe</t>
  </si>
  <si>
    <t>810000562 - Centre Hospitalier Lavaur</t>
  </si>
  <si>
    <t>(2695)création activité (le dossier parle aussi d'HC addicto)</t>
  </si>
  <si>
    <t>810003954 - CRF Personnes Agées</t>
  </si>
  <si>
    <t>810004200 - SSR KORIAN LE CHATEAU DE CAHUZAC</t>
  </si>
  <si>
    <t>810101170 - CLINIQUE TOULOUSE LAUTREC</t>
  </si>
  <si>
    <t>(3112) autorisation Respi HC COVID (isopérimètre) / 7 HDJ gériatrie</t>
  </si>
  <si>
    <t>820000032 - Centre Hospitalier Montauban</t>
  </si>
  <si>
    <t xml:space="preserve">820000057 - Clinique du PONT DE CHAUME </t>
  </si>
  <si>
    <t>820000420 - Centre Hospitalier Negrepelisse</t>
  </si>
  <si>
    <t>820000461 - Centre Hospitalier des Deux Rives</t>
  </si>
  <si>
    <t>Agen</t>
  </si>
  <si>
    <t>820000412 - Château de LONGUES AYGUES</t>
  </si>
  <si>
    <t>820002350 - CRF CARDIAQUES  BEAUMONT DE LOMAGNE</t>
  </si>
  <si>
    <t>820003218 - SSR CLINIQUE LA PINEDE</t>
  </si>
  <si>
    <t>820000883 - Centre Hospitalier Intercommunal Castelsarrasin-Moissac</t>
  </si>
  <si>
    <t>Moissac</t>
  </si>
  <si>
    <t>820010866 - CENTRE MIDI GASCOGNE BRESSOLS</t>
  </si>
  <si>
    <t>Total EPS</t>
  </si>
  <si>
    <t>Total EBNL</t>
  </si>
  <si>
    <t>dot pop 2024 C4</t>
  </si>
  <si>
    <t>Total EBL</t>
  </si>
  <si>
    <t>dot pop 2025 C1</t>
  </si>
  <si>
    <t>écart C4 24 / C1 25</t>
  </si>
  <si>
    <t>MN adulte</t>
  </si>
  <si>
    <t>MN péd</t>
  </si>
  <si>
    <t>dot transition</t>
  </si>
  <si>
    <t>source : SMR Dot Pop 24finale</t>
  </si>
  <si>
    <t>Activité SSR</t>
  </si>
  <si>
    <t>Année: 2024</t>
  </si>
  <si>
    <t>Zone géographique: Région Occitanie</t>
  </si>
  <si>
    <t>Catégorie d'établissement: Ensemble des établissements</t>
  </si>
  <si>
    <t>Taille de l'établissement: Ensemble des établissements</t>
  </si>
  <si>
    <t>Caractérisation de l'activité SSR des établissements de la zone géographique sélectionnée</t>
  </si>
  <si>
    <t>Nombre de journées</t>
  </si>
  <si>
    <t>total</t>
  </si>
  <si>
    <t>en hospit complète</t>
  </si>
  <si>
    <t>en hospit partielle</t>
  </si>
  <si>
    <t>41,5 %</t>
  </si>
  <si>
    <t>71,58</t>
  </si>
  <si>
    <t>8,13</t>
  </si>
  <si>
    <t>2,54</t>
  </si>
  <si>
    <t>1,69</t>
  </si>
  <si>
    <t>39,2 %</t>
  </si>
  <si>
    <t>83,95</t>
  </si>
  <si>
    <t>12,48</t>
  </si>
  <si>
    <t>4,08</t>
  </si>
  <si>
    <t>0,94</t>
  </si>
  <si>
    <t>53,5 %</t>
  </si>
  <si>
    <t>75,34</t>
  </si>
  <si>
    <t>11,59</t>
  </si>
  <si>
    <t>4,19</t>
  </si>
  <si>
    <t>1,43</t>
  </si>
  <si>
    <t>49,7 %</t>
  </si>
  <si>
    <t>67,73</t>
  </si>
  <si>
    <t>7,61</t>
  </si>
  <si>
    <t>4,12</t>
  </si>
  <si>
    <t>5,08</t>
  </si>
  <si>
    <t>38,9 %</t>
  </si>
  <si>
    <t>73,70</t>
  </si>
  <si>
    <t>10,84</t>
  </si>
  <si>
    <t>4,53</t>
  </si>
  <si>
    <t>2,38</t>
  </si>
  <si>
    <t>35,8 %</t>
  </si>
  <si>
    <t>72,67</t>
  </si>
  <si>
    <t>9,23</t>
  </si>
  <si>
    <t>2,40</t>
  </si>
  <si>
    <t>32,8 %</t>
  </si>
  <si>
    <t>84,64</t>
  </si>
  <si>
    <t>10,20</t>
  </si>
  <si>
    <t>3,89</t>
  </si>
  <si>
    <t>1,67</t>
  </si>
  <si>
    <t>28,1 %</t>
  </si>
  <si>
    <t>86,34</t>
  </si>
  <si>
    <t>11,68</t>
  </si>
  <si>
    <t>4,76</t>
  </si>
  <si>
    <t>2,81</t>
  </si>
  <si>
    <t>47,1 %</t>
  </si>
  <si>
    <t>71,83</t>
  </si>
  <si>
    <t>12,04</t>
  </si>
  <si>
    <t>4,71</t>
  </si>
  <si>
    <t>0,98</t>
  </si>
  <si>
    <t>37,3 %</t>
  </si>
  <si>
    <t>81,05</t>
  </si>
  <si>
    <t>10,66</t>
  </si>
  <si>
    <t>4,30</t>
  </si>
  <si>
    <t>46,4 %</t>
  </si>
  <si>
    <t>66,67</t>
  </si>
  <si>
    <t>5,40</t>
  </si>
  <si>
    <t>2,23</t>
  </si>
  <si>
    <t>3,41</t>
  </si>
  <si>
    <t>38,5 %</t>
  </si>
  <si>
    <t>73,43</t>
  </si>
  <si>
    <t>9,66</t>
  </si>
  <si>
    <t>3,59</t>
  </si>
  <si>
    <t>4,00</t>
  </si>
  <si>
    <t>40,0 %</t>
  </si>
  <si>
    <t>77,55</t>
  </si>
  <si>
    <t>11,42</t>
  </si>
  <si>
    <t>4,29</t>
  </si>
  <si>
    <t>0,87</t>
  </si>
  <si>
    <t>47,2 %</t>
  </si>
  <si>
    <t>67,11</t>
  </si>
  <si>
    <t>7,02</t>
  </si>
  <si>
    <t>2,46</t>
  </si>
  <si>
    <t>7,29</t>
  </si>
  <si>
    <t>39,0 %</t>
  </si>
  <si>
    <t>81,22</t>
  </si>
  <si>
    <t>12,06</t>
  </si>
  <si>
    <t>6,53</t>
  </si>
  <si>
    <t>2,01</t>
  </si>
  <si>
    <t>40,4 %</t>
  </si>
  <si>
    <t>82,45</t>
  </si>
  <si>
    <t>10,13</t>
  </si>
  <si>
    <t>48,5 %</t>
  </si>
  <si>
    <t>82,74</t>
  </si>
  <si>
    <t>10,96</t>
  </si>
  <si>
    <t>3,42</t>
  </si>
  <si>
    <t>1,07</t>
  </si>
  <si>
    <t>43,1 %</t>
  </si>
  <si>
    <t>80,65</t>
  </si>
  <si>
    <t>11,21</t>
  </si>
  <si>
    <t>3,73</t>
  </si>
  <si>
    <t>1,16</t>
  </si>
  <si>
    <t>81,01</t>
  </si>
  <si>
    <t>10,80</t>
  </si>
  <si>
    <t>2,69</t>
  </si>
  <si>
    <t>1,50</t>
  </si>
  <si>
    <t>39,8 %</t>
  </si>
  <si>
    <t>80,45</t>
  </si>
  <si>
    <t>9,56</t>
  </si>
  <si>
    <t>2,98</t>
  </si>
  <si>
    <t>1,95</t>
  </si>
  <si>
    <t>47,0 %</t>
  </si>
  <si>
    <t>78,54</t>
  </si>
  <si>
    <t>10,06</t>
  </si>
  <si>
    <t>2,88</t>
  </si>
  <si>
    <t>1,35</t>
  </si>
  <si>
    <t>55,5 %</t>
  </si>
  <si>
    <t>68,19</t>
  </si>
  <si>
    <t>8,77</t>
  </si>
  <si>
    <t>3,63</t>
  </si>
  <si>
    <t>47,4 %</t>
  </si>
  <si>
    <t>81,60</t>
  </si>
  <si>
    <t>12,81</t>
  </si>
  <si>
    <t>5,15</t>
  </si>
  <si>
    <t>1,11</t>
  </si>
  <si>
    <t>49,5 %</t>
  </si>
  <si>
    <t>72,90</t>
  </si>
  <si>
    <t>7,13</t>
  </si>
  <si>
    <t>2,85</t>
  </si>
  <si>
    <t>2,03</t>
  </si>
  <si>
    <t>34,3 %</t>
  </si>
  <si>
    <t>80,63</t>
  </si>
  <si>
    <t>9,34</t>
  </si>
  <si>
    <t>4,17</t>
  </si>
  <si>
    <t>1,38</t>
  </si>
  <si>
    <t>44,2 %</t>
  </si>
  <si>
    <t>80,23</t>
  </si>
  <si>
    <t>9,87</t>
  </si>
  <si>
    <t>0,54</t>
  </si>
  <si>
    <t>33,0 %</t>
  </si>
  <si>
    <t>84,42</t>
  </si>
  <si>
    <t>11,55</t>
  </si>
  <si>
    <t>3,40</t>
  </si>
  <si>
    <t>1,79</t>
  </si>
  <si>
    <t>77,16</t>
  </si>
  <si>
    <t>9,12</t>
  </si>
  <si>
    <t>2,53</t>
  </si>
  <si>
    <t>38,0 %</t>
  </si>
  <si>
    <t>70,35</t>
  </si>
  <si>
    <t>8,26</t>
  </si>
  <si>
    <t>3,24</t>
  </si>
  <si>
    <t>2,52</t>
  </si>
  <si>
    <t>66,0 %</t>
  </si>
  <si>
    <t>61,22</t>
  </si>
  <si>
    <t>7,80</t>
  </si>
  <si>
    <t>3,99</t>
  </si>
  <si>
    <t>2,09</t>
  </si>
  <si>
    <t>56,0 %</t>
  </si>
  <si>
    <t>63,15</t>
  </si>
  <si>
    <t>8,52</t>
  </si>
  <si>
    <t>3,58</t>
  </si>
  <si>
    <t>1,37</t>
  </si>
  <si>
    <t>46,6 %</t>
  </si>
  <si>
    <t>76,95</t>
  </si>
  <si>
    <t>8,63</t>
  </si>
  <si>
    <t>3,17</t>
  </si>
  <si>
    <t>3,34</t>
  </si>
  <si>
    <t>36,8 %</t>
  </si>
  <si>
    <t>6,23</t>
  </si>
  <si>
    <t>2,96</t>
  </si>
  <si>
    <t>36,5 %</t>
  </si>
  <si>
    <t>78,78</t>
  </si>
  <si>
    <t>8,81</t>
  </si>
  <si>
    <t>3,39</t>
  </si>
  <si>
    <t>1,05</t>
  </si>
  <si>
    <t>37,4 %</t>
  </si>
  <si>
    <t>70,24</t>
  </si>
  <si>
    <t>10,62</t>
  </si>
  <si>
    <t>4,07</t>
  </si>
  <si>
    <t>1,91</t>
  </si>
  <si>
    <t>45,5 %</t>
  </si>
  <si>
    <t>72,94</t>
  </si>
  <si>
    <t>7,45</t>
  </si>
  <si>
    <t>1,32</t>
  </si>
  <si>
    <t>32,2 %</t>
  </si>
  <si>
    <t>75,99</t>
  </si>
  <si>
    <t>9,04</t>
  </si>
  <si>
    <t>2,59</t>
  </si>
  <si>
    <t>2,35</t>
  </si>
  <si>
    <t>45,0 %</t>
  </si>
  <si>
    <t>64,64</t>
  </si>
  <si>
    <t>8,29</t>
  </si>
  <si>
    <t>3,04</t>
  </si>
  <si>
    <t>2,99</t>
  </si>
  <si>
    <t>41,0 %</t>
  </si>
  <si>
    <t>78,41</t>
  </si>
  <si>
    <t>10,52</t>
  </si>
  <si>
    <t>2,86</t>
  </si>
  <si>
    <t>0,90</t>
  </si>
  <si>
    <t>23,9 %</t>
  </si>
  <si>
    <t>69,60</t>
  </si>
  <si>
    <t>7,44</t>
  </si>
  <si>
    <t>3,33</t>
  </si>
  <si>
    <t>1,61</t>
  </si>
  <si>
    <t>43,3 %</t>
  </si>
  <si>
    <t>77,89</t>
  </si>
  <si>
    <t>10,58</t>
  </si>
  <si>
    <t>3,62</t>
  </si>
  <si>
    <t>0,42</t>
  </si>
  <si>
    <t>45,9 %</t>
  </si>
  <si>
    <t>73,11</t>
  </si>
  <si>
    <t>8,92</t>
  </si>
  <si>
    <t>2,83</t>
  </si>
  <si>
    <t>0,60</t>
  </si>
  <si>
    <t>41,3 %</t>
  </si>
  <si>
    <t>63,23</t>
  </si>
  <si>
    <t>8,83</t>
  </si>
  <si>
    <t>4,91</t>
  </si>
  <si>
    <t>4,14</t>
  </si>
  <si>
    <t>48,0 %</t>
  </si>
  <si>
    <t>59,84</t>
  </si>
  <si>
    <t>4,94</t>
  </si>
  <si>
    <t>2,49</t>
  </si>
  <si>
    <t>1,90</t>
  </si>
  <si>
    <t>27,0 %</t>
  </si>
  <si>
    <t>84,14</t>
  </si>
  <si>
    <t>10,30</t>
  </si>
  <si>
    <t>3,83</t>
  </si>
  <si>
    <t>1,71</t>
  </si>
  <si>
    <t>28,0 %</t>
  </si>
  <si>
    <t>83,78</t>
  </si>
  <si>
    <t>10,82</t>
  </si>
  <si>
    <t>4,93</t>
  </si>
  <si>
    <t>1,86</t>
  </si>
  <si>
    <t>80,0 %</t>
  </si>
  <si>
    <t>46,19</t>
  </si>
  <si>
    <t>5,26</t>
  </si>
  <si>
    <t>5,51</t>
  </si>
  <si>
    <t>1,94</t>
  </si>
  <si>
    <t>24,8 %</t>
  </si>
  <si>
    <t>86,64</t>
  </si>
  <si>
    <t>9,72</t>
  </si>
  <si>
    <t>2,68</t>
  </si>
  <si>
    <t>0,73</t>
  </si>
  <si>
    <t>40,9 %</t>
  </si>
  <si>
    <t>70,65</t>
  </si>
  <si>
    <t>7,14</t>
  </si>
  <si>
    <t>2,47</t>
  </si>
  <si>
    <t>2,15</t>
  </si>
  <si>
    <t>35,97</t>
  </si>
  <si>
    <t>4,56</t>
  </si>
  <si>
    <t>4,98</t>
  </si>
  <si>
    <t>48,4 %</t>
  </si>
  <si>
    <t>62,47</t>
  </si>
  <si>
    <t>7,49</t>
  </si>
  <si>
    <t>2,57</t>
  </si>
  <si>
    <t>2,89</t>
  </si>
  <si>
    <t>42,0 %</t>
  </si>
  <si>
    <t>74,72</t>
  </si>
  <si>
    <t>4,09</t>
  </si>
  <si>
    <t>1,81</t>
  </si>
  <si>
    <t>62,18</t>
  </si>
  <si>
    <t>6,80</t>
  </si>
  <si>
    <t>2,51</t>
  </si>
  <si>
    <t>40,1 %</t>
  </si>
  <si>
    <t>15,29</t>
  </si>
  <si>
    <t>5,53</t>
  </si>
  <si>
    <t>3,86</t>
  </si>
  <si>
    <t>0,37</t>
  </si>
  <si>
    <t>83,69</t>
  </si>
  <si>
    <t>10,93</t>
  </si>
  <si>
    <t>2,76</t>
  </si>
  <si>
    <t>1,89</t>
  </si>
  <si>
    <t>35,1 %</t>
  </si>
  <si>
    <t>84,15</t>
  </si>
  <si>
    <t>11,28</t>
  </si>
  <si>
    <t>2,95</t>
  </si>
  <si>
    <t>1,18</t>
  </si>
  <si>
    <t>81,62</t>
  </si>
  <si>
    <t>11,98</t>
  </si>
  <si>
    <t>4,15</t>
  </si>
  <si>
    <t>35,4 %</t>
  </si>
  <si>
    <t>80,98</t>
  </si>
  <si>
    <t>3,32</t>
  </si>
  <si>
    <t>1,88</t>
  </si>
  <si>
    <t>69,83</t>
  </si>
  <si>
    <t>3,80</t>
  </si>
  <si>
    <t>4,64</t>
  </si>
  <si>
    <t>50,8 %</t>
  </si>
  <si>
    <t>9,47</t>
  </si>
  <si>
    <t>9,99</t>
  </si>
  <si>
    <t>4,45</t>
  </si>
  <si>
    <t>3,03</t>
  </si>
  <si>
    <t>37,7 %</t>
  </si>
  <si>
    <t>81,10</t>
  </si>
  <si>
    <t>10,98</t>
  </si>
  <si>
    <t>3,64</t>
  </si>
  <si>
    <t>54,7 %</t>
  </si>
  <si>
    <t>58,69</t>
  </si>
  <si>
    <t>10,10</t>
  </si>
  <si>
    <t>3,90</t>
  </si>
  <si>
    <t>3,28</t>
  </si>
  <si>
    <t>52,8 %</t>
  </si>
  <si>
    <t>77,77</t>
  </si>
  <si>
    <t>9,64</t>
  </si>
  <si>
    <t>3,35</t>
  </si>
  <si>
    <t>1,68</t>
  </si>
  <si>
    <t>70,77</t>
  </si>
  <si>
    <t>8,97</t>
  </si>
  <si>
    <t>2,97</t>
  </si>
  <si>
    <t>44,6 %</t>
  </si>
  <si>
    <t>67,96</t>
  </si>
  <si>
    <t>7,62</t>
  </si>
  <si>
    <t>2,87</t>
  </si>
  <si>
    <t>38,1 %</t>
  </si>
  <si>
    <t>84,79</t>
  </si>
  <si>
    <t>11,18</t>
  </si>
  <si>
    <t>3,75</t>
  </si>
  <si>
    <t>30,6 %</t>
  </si>
  <si>
    <t>81,63</t>
  </si>
  <si>
    <t>4,20</t>
  </si>
  <si>
    <t>1,49</t>
  </si>
  <si>
    <t>38,4 %</t>
  </si>
  <si>
    <t>83,79</t>
  </si>
  <si>
    <t>11,27</t>
  </si>
  <si>
    <t>4,82</t>
  </si>
  <si>
    <t>1,59</t>
  </si>
  <si>
    <t>57,38</t>
  </si>
  <si>
    <t>5,27</t>
  </si>
  <si>
    <t>2,08</t>
  </si>
  <si>
    <t>3,43</t>
  </si>
  <si>
    <t>66,5 %</t>
  </si>
  <si>
    <t>63,76</t>
  </si>
  <si>
    <t>6,73</t>
  </si>
  <si>
    <t>3,45</t>
  </si>
  <si>
    <t>3,09</t>
  </si>
  <si>
    <t>74,51</t>
  </si>
  <si>
    <t>7,60</t>
  </si>
  <si>
    <t>1,06</t>
  </si>
  <si>
    <t>51,1 %</t>
  </si>
  <si>
    <t>1,45</t>
  </si>
  <si>
    <t>14,96</t>
  </si>
  <si>
    <t>4,87</t>
  </si>
  <si>
    <t>32,4 %</t>
  </si>
  <si>
    <t>79,50</t>
  </si>
  <si>
    <t>2,75</t>
  </si>
  <si>
    <t>1,24</t>
  </si>
  <si>
    <t>61,1 %</t>
  </si>
  <si>
    <t>61,57</t>
  </si>
  <si>
    <t>4,02</t>
  </si>
  <si>
    <t>2,20</t>
  </si>
  <si>
    <t>45,4 %</t>
  </si>
  <si>
    <t>73,37</t>
  </si>
  <si>
    <t>9,15</t>
  </si>
  <si>
    <t>1,02</t>
  </si>
  <si>
    <t>30,8 %</t>
  </si>
  <si>
    <t>82,69</t>
  </si>
  <si>
    <t>0,77</t>
  </si>
  <si>
    <t>31,5 %</t>
  </si>
  <si>
    <t>80,81</t>
  </si>
  <si>
    <t>11,53</t>
  </si>
  <si>
    <t>4,46</t>
  </si>
  <si>
    <t>0,62</t>
  </si>
  <si>
    <t>83,28</t>
  </si>
  <si>
    <t>12,54</t>
  </si>
  <si>
    <t>4,50</t>
  </si>
  <si>
    <t>0,75</t>
  </si>
  <si>
    <t>35,2 %</t>
  </si>
  <si>
    <t>82,50</t>
  </si>
  <si>
    <t>12,22</t>
  </si>
  <si>
    <t>4,83</t>
  </si>
  <si>
    <t>41,7 %</t>
  </si>
  <si>
    <t>84,96</t>
  </si>
  <si>
    <t>12,36</t>
  </si>
  <si>
    <t>1,08</t>
  </si>
  <si>
    <t>37,6 %</t>
  </si>
  <si>
    <t>81,61</t>
  </si>
  <si>
    <t>10,49</t>
  </si>
  <si>
    <t>3,66</t>
  </si>
  <si>
    <t>1,48</t>
  </si>
  <si>
    <t>83,34</t>
  </si>
  <si>
    <t>12,14</t>
  </si>
  <si>
    <t>4,03</t>
  </si>
  <si>
    <t>0,49</t>
  </si>
  <si>
    <t>12,24</t>
  </si>
  <si>
    <t>9,80</t>
  </si>
  <si>
    <t>4,48</t>
  </si>
  <si>
    <t>2,21</t>
  </si>
  <si>
    <t>58,6 %</t>
  </si>
  <si>
    <t>10,17</t>
  </si>
  <si>
    <t>9,89</t>
  </si>
  <si>
    <t>5,88</t>
  </si>
  <si>
    <t>7,38</t>
  </si>
  <si>
    <t>39,4 %</t>
  </si>
  <si>
    <t>65,80</t>
  </si>
  <si>
    <t>3,15</t>
  </si>
  <si>
    <t>76,1 %</t>
  </si>
  <si>
    <t>54,01</t>
  </si>
  <si>
    <t>2,34</t>
  </si>
  <si>
    <t>50,0 %</t>
  </si>
  <si>
    <t>69,89</t>
  </si>
  <si>
    <t>3,67</t>
  </si>
  <si>
    <t>47,8 %</t>
  </si>
  <si>
    <t>77,04</t>
  </si>
  <si>
    <t>9,17</t>
  </si>
  <si>
    <t>0,53</t>
  </si>
  <si>
    <t>43,2 %</t>
  </si>
  <si>
    <t>78,82</t>
  </si>
  <si>
    <t>10,11</t>
  </si>
  <si>
    <t>3,87</t>
  </si>
  <si>
    <t>1,46</t>
  </si>
  <si>
    <t>57,7 %</t>
  </si>
  <si>
    <t>66,14</t>
  </si>
  <si>
    <t>8,90</t>
  </si>
  <si>
    <t>3,79</t>
  </si>
  <si>
    <t>2,78</t>
  </si>
  <si>
    <t>30,5 %</t>
  </si>
  <si>
    <t>77,86</t>
  </si>
  <si>
    <t>7,35</t>
  </si>
  <si>
    <t>2,42</t>
  </si>
  <si>
    <t>78,90</t>
  </si>
  <si>
    <t>5,65</t>
  </si>
  <si>
    <t>3,97</t>
  </si>
  <si>
    <t>33,8 %</t>
  </si>
  <si>
    <t>80,46</t>
  </si>
  <si>
    <t>8,72</t>
  </si>
  <si>
    <t>2,74</t>
  </si>
  <si>
    <t>1,03</t>
  </si>
  <si>
    <t>35,3 %</t>
  </si>
  <si>
    <t>66,54</t>
  </si>
  <si>
    <t>9,40</t>
  </si>
  <si>
    <t>3,91</t>
  </si>
  <si>
    <t>1,51</t>
  </si>
  <si>
    <t>46,9 %</t>
  </si>
  <si>
    <t>80,01</t>
  </si>
  <si>
    <t>9,71</t>
  </si>
  <si>
    <t>3,47</t>
  </si>
  <si>
    <t>1,15</t>
  </si>
  <si>
    <t>43,6 %</t>
  </si>
  <si>
    <t>67,70</t>
  </si>
  <si>
    <t>2,07</t>
  </si>
  <si>
    <t>55,7 %</t>
  </si>
  <si>
    <t>58,25</t>
  </si>
  <si>
    <t>7,09</t>
  </si>
  <si>
    <t>3,07</t>
  </si>
  <si>
    <t>3,78</t>
  </si>
  <si>
    <t>42,6 %</t>
  </si>
  <si>
    <t>80,17</t>
  </si>
  <si>
    <t>9,28</t>
  </si>
  <si>
    <t>3,69</t>
  </si>
  <si>
    <t>2,16</t>
  </si>
  <si>
    <t>57,1 %</t>
  </si>
  <si>
    <t>65,88</t>
  </si>
  <si>
    <t>8,40</t>
  </si>
  <si>
    <t>4,10</t>
  </si>
  <si>
    <t>74,32</t>
  </si>
  <si>
    <t>9,52</t>
  </si>
  <si>
    <t>32,0 %</t>
  </si>
  <si>
    <t>82,36</t>
  </si>
  <si>
    <t>9,61</t>
  </si>
  <si>
    <t>40,6 %</t>
  </si>
  <si>
    <t>79,11</t>
  </si>
  <si>
    <t>9,45</t>
  </si>
  <si>
    <t>3,36</t>
  </si>
  <si>
    <t>6,09</t>
  </si>
  <si>
    <t>49,2 %</t>
  </si>
  <si>
    <t>66,71</t>
  </si>
  <si>
    <t>6,15</t>
  </si>
  <si>
    <t>2,41</t>
  </si>
  <si>
    <t>82,95</t>
  </si>
  <si>
    <t>1,12</t>
  </si>
  <si>
    <t>40,2 %</t>
  </si>
  <si>
    <t>67,45</t>
  </si>
  <si>
    <t>3,49</t>
  </si>
  <si>
    <t>41,9 %</t>
  </si>
  <si>
    <t>77,72</t>
  </si>
  <si>
    <t>8,84</t>
  </si>
  <si>
    <t>44,0 %</t>
  </si>
  <si>
    <t>73,90</t>
  </si>
  <si>
    <t>11,49</t>
  </si>
  <si>
    <t>5,31</t>
  </si>
  <si>
    <t>55,6 %</t>
  </si>
  <si>
    <t>60,45</t>
  </si>
  <si>
    <t>7,40</t>
  </si>
  <si>
    <t>3,46</t>
  </si>
  <si>
    <t>59,48</t>
  </si>
  <si>
    <t>6,26</t>
  </si>
  <si>
    <t>2,26</t>
  </si>
  <si>
    <t>50,9 %</t>
  </si>
  <si>
    <t>61,55</t>
  </si>
  <si>
    <t>8,50</t>
  </si>
  <si>
    <t>4,36</t>
  </si>
  <si>
    <t>28,5 %</t>
  </si>
  <si>
    <t>84,69</t>
  </si>
  <si>
    <t>10,15</t>
  </si>
  <si>
    <t>28,8 %</t>
  </si>
  <si>
    <t>85,15</t>
  </si>
  <si>
    <t>11,17</t>
  </si>
  <si>
    <t>1,58</t>
  </si>
  <si>
    <t>55,0 %</t>
  </si>
  <si>
    <t>29,6 %</t>
  </si>
  <si>
    <t>84,37</t>
  </si>
  <si>
    <t>9,07</t>
  </si>
  <si>
    <t>3,26</t>
  </si>
  <si>
    <t>0,64</t>
  </si>
  <si>
    <t>31,1 %</t>
  </si>
  <si>
    <t>83,27</t>
  </si>
  <si>
    <t>9,83</t>
  </si>
  <si>
    <t>34,7 %</t>
  </si>
  <si>
    <t>11,19</t>
  </si>
  <si>
    <t>4,57</t>
  </si>
  <si>
    <t>2,06</t>
  </si>
  <si>
    <t>34,1 %</t>
  </si>
  <si>
    <t>77,84</t>
  </si>
  <si>
    <t>8,07</t>
  </si>
  <si>
    <t>2,61</t>
  </si>
  <si>
    <t>1,31</t>
  </si>
  <si>
    <t>38,8 %</t>
  </si>
  <si>
    <t>9,41</t>
  </si>
  <si>
    <t>3,85</t>
  </si>
  <si>
    <t>1,62</t>
  </si>
  <si>
    <t>84,82</t>
  </si>
  <si>
    <t>9,24</t>
  </si>
  <si>
    <t>1,85</t>
  </si>
  <si>
    <t>48,7 %</t>
  </si>
  <si>
    <t>62,07</t>
  </si>
  <si>
    <t>5,95</t>
  </si>
  <si>
    <t>2,02</t>
  </si>
  <si>
    <t>7,54</t>
  </si>
  <si>
    <t>76,5 %</t>
  </si>
  <si>
    <t>46,50</t>
  </si>
  <si>
    <t>6,88</t>
  </si>
  <si>
    <t>49,1 %</t>
  </si>
  <si>
    <t>70,84</t>
  </si>
  <si>
    <t>6,12</t>
  </si>
  <si>
    <t>3,01</t>
  </si>
  <si>
    <t>3,19</t>
  </si>
  <si>
    <t>0,0 %</t>
  </si>
  <si>
    <t>46,78</t>
  </si>
  <si>
    <t>6,05</t>
  </si>
  <si>
    <t>39,5 %</t>
  </si>
  <si>
    <t>82,37</t>
  </si>
  <si>
    <t>9,26</t>
  </si>
  <si>
    <t>4,16</t>
  </si>
  <si>
    <t>0,40</t>
  </si>
  <si>
    <t>81,02</t>
  </si>
  <si>
    <t>8,93</t>
  </si>
  <si>
    <t>77,57</t>
  </si>
  <si>
    <t>8,99</t>
  </si>
  <si>
    <t>2,70</t>
  </si>
  <si>
    <t>82,5 %</t>
  </si>
  <si>
    <t>48,07</t>
  </si>
  <si>
    <t>2,45</t>
  </si>
  <si>
    <t>37,5 %</t>
  </si>
  <si>
    <t>78,83</t>
  </si>
  <si>
    <t>10,76</t>
  </si>
  <si>
    <t>0,85</t>
  </si>
  <si>
    <t>42,2 %</t>
  </si>
  <si>
    <t>13,99</t>
  </si>
  <si>
    <t>6,68</t>
  </si>
  <si>
    <t>53,3 %</t>
  </si>
  <si>
    <t>63,47</t>
  </si>
  <si>
    <t>7,41</t>
  </si>
  <si>
    <t>2,44</t>
  </si>
  <si>
    <t>46,8 %</t>
  </si>
  <si>
    <t>78,68</t>
  </si>
  <si>
    <t>8,33</t>
  </si>
  <si>
    <t>1,30</t>
  </si>
  <si>
    <t>14,00</t>
  </si>
  <si>
    <t>5,57</t>
  </si>
  <si>
    <t>2,37</t>
  </si>
  <si>
    <t>51,8 %</t>
  </si>
  <si>
    <t>63,61</t>
  </si>
  <si>
    <t>8,74</t>
  </si>
  <si>
    <t>2,13</t>
  </si>
  <si>
    <t>84,32</t>
  </si>
  <si>
    <t>3,82</t>
  </si>
  <si>
    <t>0,55</t>
  </si>
  <si>
    <t>72,24</t>
  </si>
  <si>
    <t>8,19</t>
  </si>
  <si>
    <t>1,22</t>
  </si>
  <si>
    <t>73,92</t>
  </si>
  <si>
    <t>3,05</t>
  </si>
  <si>
    <t>59,7 %</t>
  </si>
  <si>
    <t>65,23</t>
  </si>
  <si>
    <t>4,01</t>
  </si>
  <si>
    <t>2,63</t>
  </si>
  <si>
    <t>82,31</t>
  </si>
  <si>
    <t>11,75</t>
  </si>
  <si>
    <t>4,73</t>
  </si>
  <si>
    <t>33,2 %</t>
  </si>
  <si>
    <t>82,70</t>
  </si>
  <si>
    <t>10,40</t>
  </si>
  <si>
    <t>3,95</t>
  </si>
  <si>
    <t>0,99</t>
  </si>
  <si>
    <t>79,72</t>
  </si>
  <si>
    <t>11,64</t>
  </si>
  <si>
    <t>5,59</t>
  </si>
  <si>
    <t>65,8 %</t>
  </si>
  <si>
    <t>59,69</t>
  </si>
  <si>
    <t>9,08</t>
  </si>
  <si>
    <t>3,94</t>
  </si>
  <si>
    <t>31,8 %</t>
  </si>
  <si>
    <t>12,50</t>
  </si>
  <si>
    <t>6,06</t>
  </si>
  <si>
    <t>32,6 %</t>
  </si>
  <si>
    <t>83,84</t>
  </si>
  <si>
    <t>10,24</t>
  </si>
  <si>
    <t>2,84</t>
  </si>
  <si>
    <t>49,9 %</t>
  </si>
  <si>
    <t>78,32</t>
  </si>
  <si>
    <t>11,80</t>
  </si>
  <si>
    <t>4,33</t>
  </si>
  <si>
    <t>46,5 %</t>
  </si>
  <si>
    <t>1,53</t>
  </si>
  <si>
    <t>40,7 %</t>
  </si>
  <si>
    <t>85,89</t>
  </si>
  <si>
    <t>12,05</t>
  </si>
  <si>
    <t>5,50</t>
  </si>
  <si>
    <t>26,7 %</t>
  </si>
  <si>
    <t>83,83</t>
  </si>
  <si>
    <t>10,18</t>
  </si>
  <si>
    <t>3,12</t>
  </si>
  <si>
    <t>1,09</t>
  </si>
  <si>
    <t>12,82</t>
  </si>
  <si>
    <t>7,17</t>
  </si>
  <si>
    <t>42,9 %</t>
  </si>
  <si>
    <t>62,80</t>
  </si>
  <si>
    <t>39,1 %</t>
  </si>
  <si>
    <t>74,42</t>
  </si>
  <si>
    <t>9,88</t>
  </si>
  <si>
    <t>3,00</t>
  </si>
  <si>
    <t>35,6 %</t>
  </si>
  <si>
    <t>79,15</t>
  </si>
  <si>
    <t>51,0 %</t>
  </si>
  <si>
    <t>5,69</t>
  </si>
  <si>
    <t>82,9 %</t>
  </si>
  <si>
    <t>42,28</t>
  </si>
  <si>
    <t>5,00</t>
  </si>
  <si>
    <t>80,66</t>
  </si>
  <si>
    <t>46,2 %</t>
  </si>
  <si>
    <t>69,78</t>
  </si>
  <si>
    <t>8,18</t>
  </si>
  <si>
    <t>4,61</t>
  </si>
  <si>
    <t>71,15</t>
  </si>
  <si>
    <t>7,95</t>
  </si>
  <si>
    <t>21,6 %</t>
  </si>
  <si>
    <t>81,95</t>
  </si>
  <si>
    <t>3,61</t>
  </si>
  <si>
    <t>52,2 %</t>
  </si>
  <si>
    <t>59,57</t>
  </si>
  <si>
    <t>8,44</t>
  </si>
  <si>
    <t>3,92</t>
  </si>
  <si>
    <t>35,7 %</t>
  </si>
  <si>
    <t>74,50</t>
  </si>
  <si>
    <t>8,71</t>
  </si>
  <si>
    <t>2,64</t>
  </si>
  <si>
    <t>79,29</t>
  </si>
  <si>
    <t>10,29</t>
  </si>
  <si>
    <t>4,22</t>
  </si>
  <si>
    <t>2,25</t>
  </si>
  <si>
    <t>84,87</t>
  </si>
  <si>
    <t>10,39</t>
  </si>
  <si>
    <t>3,71</t>
  </si>
  <si>
    <t>33,4 %</t>
  </si>
  <si>
    <t>84,30</t>
  </si>
  <si>
    <t>10,44</t>
  </si>
  <si>
    <t>4,24</t>
  </si>
  <si>
    <t>1,34</t>
  </si>
  <si>
    <t>75,89</t>
  </si>
  <si>
    <t>9,67</t>
  </si>
  <si>
    <t>1,66</t>
  </si>
  <si>
    <t>70,5 %</t>
  </si>
  <si>
    <t>55,59</t>
  </si>
  <si>
    <t>4,18</t>
  </si>
  <si>
    <t>83,49</t>
  </si>
  <si>
    <t>12,19</t>
  </si>
  <si>
    <t>4,54</t>
  </si>
  <si>
    <t>37,1 %</t>
  </si>
  <si>
    <t>76,96</t>
  </si>
  <si>
    <t>8,41</t>
  </si>
  <si>
    <t>3,70</t>
  </si>
  <si>
    <t>36,2 %</t>
  </si>
  <si>
    <t>77,82</t>
  </si>
  <si>
    <t>8,49</t>
  </si>
  <si>
    <t>4,21</t>
  </si>
  <si>
    <t>49,0 %</t>
  </si>
  <si>
    <t>67,02</t>
  </si>
  <si>
    <t>7,78</t>
  </si>
  <si>
    <t>2,36</t>
  </si>
  <si>
    <t>1,87</t>
  </si>
  <si>
    <t>33,3 %</t>
  </si>
  <si>
    <t>65,50</t>
  </si>
  <si>
    <t>2,00</t>
  </si>
  <si>
    <t>1,82</t>
  </si>
  <si>
    <t>73,51</t>
  </si>
  <si>
    <t>12,57</t>
  </si>
  <si>
    <t>4,89</t>
  </si>
  <si>
    <t>0,61</t>
  </si>
  <si>
    <t>12,32</t>
  </si>
  <si>
    <t>1,78</t>
  </si>
  <si>
    <t>73,6 %</t>
  </si>
  <si>
    <t>45,36</t>
  </si>
  <si>
    <t>7,32</t>
  </si>
  <si>
    <t>72,8 %</t>
  </si>
  <si>
    <t>63,94</t>
  </si>
  <si>
    <t>4,65</t>
  </si>
  <si>
    <t>2,22</t>
  </si>
  <si>
    <t>1,75</t>
  </si>
  <si>
    <t>39,7 %</t>
  </si>
  <si>
    <t>78,63</t>
  </si>
  <si>
    <t>9,48</t>
  </si>
  <si>
    <t>82,51</t>
  </si>
  <si>
    <t>10,95</t>
  </si>
  <si>
    <t>3,55</t>
  </si>
  <si>
    <t>80,1 %</t>
  </si>
  <si>
    <t>45,1 %</t>
  </si>
  <si>
    <t>69,55</t>
  </si>
  <si>
    <t>3,60</t>
  </si>
  <si>
    <t>rechercheV ds dotpop24</t>
  </si>
  <si>
    <t>MAISON REPOS CONVALESCENCE CHT LA VERNEDE</t>
  </si>
  <si>
    <t>ecart</t>
  </si>
  <si>
    <t>DOT POP 24</t>
  </si>
  <si>
    <r>
      <t>adulte et enfant (</t>
    </r>
    <r>
      <rPr>
        <b/>
        <u/>
        <sz val="11"/>
        <color theme="1"/>
        <rFont val="Aptos Narrow"/>
        <family val="2"/>
        <scheme val="minor"/>
      </rPr>
      <t>hors MECS</t>
    </r>
    <r>
      <rPr>
        <sz val="11"/>
        <color theme="1"/>
        <rFont val="Aptos Narrow"/>
        <family val="2"/>
        <scheme val="minor"/>
      </rPr>
      <t>)</t>
    </r>
  </si>
  <si>
    <t>partie scan sante ok</t>
  </si>
  <si>
    <t>LITS</t>
  </si>
  <si>
    <t>rechercheV ds SAE23</t>
  </si>
  <si>
    <t>PLACES</t>
  </si>
  <si>
    <t>rechercheV ds base2</t>
  </si>
  <si>
    <t>création 2024</t>
  </si>
  <si>
    <r>
      <t>enfant (</t>
    </r>
    <r>
      <rPr>
        <b/>
        <u/>
        <sz val="11"/>
        <color theme="1"/>
        <rFont val="Aptos Narrow"/>
        <family val="2"/>
        <scheme val="minor"/>
      </rPr>
      <t>hors MECS</t>
    </r>
    <r>
      <rPr>
        <sz val="11"/>
        <color theme="1"/>
        <rFont val="Aptos Narrow"/>
        <family val="2"/>
        <scheme val="minor"/>
      </rPr>
      <t>)</t>
    </r>
  </si>
  <si>
    <t xml:space="preserve">ecart </t>
  </si>
  <si>
    <t>St Exupéry</t>
  </si>
  <si>
    <t>CHU TLS</t>
  </si>
  <si>
    <t>HBT</t>
  </si>
  <si>
    <t>TOTAL SAE23</t>
  </si>
  <si>
    <t>CH tarbes</t>
  </si>
  <si>
    <t>CHU34</t>
  </si>
  <si>
    <t>CHU30</t>
  </si>
  <si>
    <t>CRF DE ROQUETAILLADE / MONTEGUT</t>
  </si>
  <si>
    <t>MONTEGUT  (adulte)</t>
  </si>
  <si>
    <t>STER (enfants)</t>
  </si>
  <si>
    <t>CHU 30 (enfants)</t>
  </si>
  <si>
    <t xml:space="preserve">Total </t>
  </si>
  <si>
    <t>SCAN SANTE</t>
  </si>
  <si>
    <t>INSTITUT SAINT PIERRE (enfant)</t>
  </si>
  <si>
    <t>dt 6</t>
  </si>
  <si>
    <t>dt 2</t>
  </si>
  <si>
    <t>MECS CASTELNOUVEL LEGUEVIN UGECAM (MECS</t>
  </si>
  <si>
    <t>ecart adulte</t>
  </si>
  <si>
    <t>ecart enfant</t>
  </si>
  <si>
    <t>ecart hors MECS</t>
  </si>
  <si>
    <t>CENTRE DE CONVALESCENCE CCA ANTRENAS (adulte)</t>
  </si>
  <si>
    <t>MECSS LES ECUREUILS (antrenas enfants)</t>
  </si>
  <si>
    <t>CENTRE MIDI GASCOGNE BRESSOLS (création 2024)</t>
  </si>
  <si>
    <t>CHS PIERRE JAMET ALBI (création 2024</t>
  </si>
  <si>
    <t>TOTAL base v2</t>
  </si>
  <si>
    <t>+ création 2024 etabl</t>
  </si>
  <si>
    <t>écart sur places</t>
  </si>
  <si>
    <t>écart sur lits</t>
  </si>
  <si>
    <t>CRF DE ROQUETAILLADE (adulte / enfant)</t>
  </si>
  <si>
    <t>CRF STER LAMALOU LES BAINS (adulte/enfant)</t>
  </si>
  <si>
    <t>CHU NIMES (adulte/enfant)</t>
  </si>
  <si>
    <t>1. export - données SCAN SANTE 2024 (adulte +enfants cumulé)</t>
  </si>
  <si>
    <t>3. comparaison des capacitaires pour corrections</t>
  </si>
  <si>
    <t>CLINIQUE DU PONT DE CHAUME (création2024)</t>
  </si>
  <si>
    <t>Dotation Occitanie MECS 
(L174-1)</t>
  </si>
  <si>
    <t>TO lits ad</t>
  </si>
  <si>
    <t xml:space="preserve">TOTAL Privé </t>
  </si>
  <si>
    <t>Ce fichier excel compile les données d’activité des établissements de santé pour la région Occitanie. Il est destiné à fournir un aperçu global et détaillé de l’activité en Soins Médicaux et de Réadaptation (SMR), ainsi qu’une mesure de la dotation populationnelle, de la dotation pédiatrique et de la dotation mentionnée à l'article 174-1 finançant des lits et places vides.</t>
  </si>
  <si>
    <t>Onglet explicatif – Sources et Méthodes</t>
  </si>
  <si>
    <r>
      <rPr>
        <b/>
        <u/>
        <sz val="11"/>
        <color theme="1"/>
        <rFont val="Aptos Narrow"/>
        <family val="2"/>
        <scheme val="minor"/>
      </rPr>
      <t>Sources</t>
    </r>
    <r>
      <rPr>
        <sz val="11"/>
        <color theme="1"/>
        <rFont val="Aptos Narrow"/>
        <family val="2"/>
        <scheme val="minor"/>
      </rPr>
      <t xml:space="preserve"> : ScanSanté et DREES, statistique annuelle des établissements : extraction des données capacitaires et d'activité 2024.                                                                                                                                                                                                    Recueil des actes administratifs régionaux : extraction des montants de dotation populationnelle, dotation pédiatrique et de la dotation mentionnée à l'article 174-1 par établissement afin de réaliser les calculs de dotation par lit et place</t>
    </r>
  </si>
  <si>
    <t>dot totale</t>
  </si>
  <si>
    <t>à l'activité</t>
  </si>
  <si>
    <t>ALEFPA / PERLE CERDANE</t>
  </si>
  <si>
    <r>
      <rPr>
        <b/>
        <u/>
        <sz val="11"/>
        <color theme="1"/>
        <rFont val="Aptos Narrow"/>
        <family val="2"/>
        <scheme val="minor"/>
      </rPr>
      <t>MECS</t>
    </r>
    <r>
      <rPr>
        <b/>
        <sz val="11"/>
        <color theme="1"/>
        <rFont val="Aptos Narrow"/>
        <family val="2"/>
        <scheme val="minor"/>
      </rPr>
      <t xml:space="preserve"> (privé non lucratif)
hors périmètre dotation pédiatrique</t>
    </r>
  </si>
  <si>
    <t>Total valorisation Vide</t>
  </si>
  <si>
    <t>Dot pop 2024 établ</t>
  </si>
  <si>
    <t>Dot pop lit</t>
  </si>
  <si>
    <t>valorisation dot pop lit/places vides</t>
  </si>
  <si>
    <t>Dot pop place</t>
  </si>
  <si>
    <t>dotpop /place sect</t>
  </si>
  <si>
    <t>dotpop
 /lit sect</t>
  </si>
  <si>
    <t xml:space="preserve">TOTAL lits vides calculés </t>
  </si>
  <si>
    <t>TOTAL places vides calculées</t>
  </si>
  <si>
    <t>TOTAL VALORISATION LITS PLACES</t>
  </si>
  <si>
    <t>ENFANTS (hors MECS)</t>
  </si>
  <si>
    <t>atypies</t>
  </si>
  <si>
    <t>Lits déclarés</t>
  </si>
  <si>
    <t>Places déclarées</t>
  </si>
  <si>
    <t>lits vides calculés</t>
  </si>
  <si>
    <t>places vides calculées</t>
  </si>
  <si>
    <t>Valo lits vides</t>
  </si>
  <si>
    <t>Valo places vides</t>
  </si>
  <si>
    <t>dotpédia /lit Etabl</t>
  </si>
  <si>
    <t>dotpédia /place Etabl</t>
  </si>
  <si>
    <t>ADULTE + ENF</t>
  </si>
  <si>
    <t>HYP 2 = ADULTE valorisé selon dot pop de l'établ</t>
  </si>
  <si>
    <t>VALORISATION CAPACITAIRE VIDE PAR SECTEUR (selon capacitaire vide par établissement)</t>
  </si>
  <si>
    <r>
      <rPr>
        <b/>
        <u/>
        <sz val="11"/>
        <color theme="1"/>
        <rFont val="Aptos Narrow"/>
        <family val="2"/>
        <scheme val="minor"/>
      </rPr>
      <t xml:space="preserve">Méthodes de calcul : </t>
    </r>
    <r>
      <rPr>
        <b/>
        <sz val="11"/>
        <color theme="1"/>
        <rFont val="Aptos Narrow"/>
        <family val="2"/>
        <scheme val="minor"/>
      </rPr>
      <t xml:space="preserve">
</t>
    </r>
    <r>
      <rPr>
        <u/>
        <sz val="11"/>
        <color theme="1"/>
        <rFont val="Aptos Narrow"/>
        <family val="2"/>
        <scheme val="minor"/>
      </rPr>
      <t>Nombre de lits et places vides (vision par établissement)</t>
    </r>
    <r>
      <rPr>
        <b/>
        <sz val="11"/>
        <color theme="1"/>
        <rFont val="Aptos Narrow"/>
        <family val="2"/>
        <scheme val="minor"/>
      </rPr>
      <t xml:space="preserve"> </t>
    </r>
    <r>
      <rPr>
        <sz val="11"/>
        <color theme="1"/>
        <rFont val="Aptos Narrow"/>
        <family val="2"/>
        <scheme val="minor"/>
      </rPr>
      <t xml:space="preserve">: Cette méthode repose sur une estimation « micro », réalisée établissement par établissement. Elle consiste à identifier, pour chaque structure, le nombre de lits ou places sous-occupés par rapport aux taux d’occupation cibles (généralement  90 % pour les lits et 95 % pour les places, ces TO de référence sont modifiables dans l'onglet synthèse v2). Les lits et places vides par établissement sont ensuite additionnés sectoriellement et globalement puis valorisés comme expliqué ci-dessous. Cette approche permet de comptabiliser l’ensemble des dotations allouées à des lits et places vides. Toutes les valorisations sont exprimées en milliers d'euros.
</t>
    </r>
    <r>
      <rPr>
        <b/>
        <sz val="11"/>
        <color theme="1"/>
        <rFont val="Aptos Narrow"/>
        <family val="2"/>
        <scheme val="minor"/>
      </rPr>
      <t xml:space="preserve">
</t>
    </r>
    <r>
      <rPr>
        <u/>
        <sz val="11"/>
        <color theme="1"/>
        <rFont val="Aptos Narrow"/>
        <family val="2"/>
        <scheme val="minor"/>
      </rPr>
      <t>Valorisation des lits et places vides adulte</t>
    </r>
    <r>
      <rPr>
        <sz val="11"/>
        <color theme="1"/>
        <rFont val="Aptos Narrow"/>
        <family val="2"/>
        <scheme val="minor"/>
      </rPr>
      <t xml:space="preserve">s : Chaque lit et place vide adulte est valorisé en utilisant le montant moyen de dotation populationnelle par lit et place du secteur d'activité de l'établissement concerné. Par hypothèse 1 lit = 2 places, dotation populationnelle / lit = total de dotation populationnelle du secteur concerné / (Total lits adultes secteur + 0,5*Total places adultes du secteur), dotation populationnelle / place = dotation populationnelle / lit * 0,5. 
NB : Les colonnes AT à AW de "basev2" utilisent une dotation populationnelle par lit et place par établissement et non sectorielle.
</t>
    </r>
    <r>
      <rPr>
        <u/>
        <sz val="11"/>
        <color theme="1"/>
        <rFont val="Aptos Narrow"/>
        <family val="2"/>
        <scheme val="minor"/>
      </rPr>
      <t>Valorisation des lits et places vides enfants</t>
    </r>
    <r>
      <rPr>
        <sz val="11"/>
        <color theme="1"/>
        <rFont val="Aptos Narrow"/>
        <family val="2"/>
        <scheme val="minor"/>
      </rPr>
      <t xml:space="preserve"> :  Chaque lit et place vide enfant est valorisé en utilisant le montant moyen de dotation pédiatrique par lit et place de l'établissement concerné. Par hypothèse 1 lit = 2 places, dotation pédiatrique / lit = total de dotation pédiatrique de l'établissement / (Total lits enfants établissement + 0,5*Total places enfants de l'établissement), dotation pédiatrique / place = dotation pédiatrique / lit * 0,5. Ces dotations pédiatriques / lit et place sont donc propres à chaque établissement (pas de moyenne sectorielle utilisée).
</t>
    </r>
    <r>
      <rPr>
        <u/>
        <sz val="11"/>
        <color theme="1"/>
        <rFont val="Aptos Narrow"/>
        <family val="2"/>
        <scheme val="minor"/>
      </rPr>
      <t>Valorisation des lits et places vides des Mecs</t>
    </r>
    <r>
      <rPr>
        <sz val="11"/>
        <color theme="1"/>
        <rFont val="Aptos Narrow"/>
        <family val="2"/>
        <scheme val="minor"/>
      </rPr>
      <t xml:space="preserve"> : Ces lits et places enfants sont valorisés dans l'onglet "sans dotpédia" de la même manière que les lits et places enfants à la différence que la dotation mentionnée à l'article 174-1 est utilisée à la place du montant de dotation pédiatrique (les maisons d'enfants ne percevant pas de dotation pédiatrique).
</t>
    </r>
    <r>
      <rPr>
        <u/>
        <sz val="11"/>
        <color theme="1"/>
        <rFont val="Aptos Narrow"/>
        <family val="2"/>
        <scheme val="minor"/>
      </rPr>
      <t>Cas particuliers</t>
    </r>
    <r>
      <rPr>
        <sz val="11"/>
        <color theme="1"/>
        <rFont val="Aptos Narrow"/>
        <family val="2"/>
        <scheme val="minor"/>
      </rPr>
      <t xml:space="preserve"> : Par hypothèse, les taux d'occupation des lits et places enfants des établissements "CHU NIMES" et "CRF STER LAMALOU LES BAINS" sont fixés aux montants des taux cibles, les journées d'HC et d'HP restantes sont affectées aux calculs des taux d'occupation des lits et places adultes.  Par hypothèse, le taux d'occupation des lits et places adultes de l'établissement "CRF DE ROQUETAILLADE" est fixé aux montants des taux cibles, les journées d'HC et d'HP restantes sont affectées aux calculs des taux d'occupation des lits et places enfants.
Par hypothèse, on considère que les établissements créés en 2024 ne disposent pas de capacitaires vides.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</si>
</sst>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_ ;\-#,##0\ "/>
    <numFmt numFmtId="165" formatCode="#,##0.0_ ;\-#,##0.0\ "/>
    <numFmt numFmtId="166" formatCode="0.0%"/>
    <numFmt numFmtId="167" formatCode="#,##0.0"/>
    <numFmt numFmtId="168" formatCode="_-* #,##0_-;\-* #,##0_-;_-* &quot;-&quot;??_-;_-@_-"/>
    <numFmt numFmtId="169" formatCode="000000000"/>
    <numFmt numFmtId="170" formatCode="#,##0_ ;[Red]\-#,##0\ "/>
    <numFmt numFmtId="171" formatCode="_-* #,##0.00\ _€_-;\-* #,##0.00\ _€_-;_-* &quot;-&quot;??\ _€_-;_-@_-"/>
  </numFmts>
  <fonts count="35">
    <font>
      <sz val="11"/>
      <color theme="1"/>
      <name val="Aptos Narrow"/>
      <family val="2"/>
      <scheme val="minor"/>
    </font>
    <font>
      <sz val="11"/>
      <color theme="1"/>
      <name val="Aptos Narrow"/>
      <family val="2"/>
      <scheme val="minor"/>
    </font>
    <font>
      <b/>
      <sz val="11"/>
      <color theme="1"/>
      <name val="Aptos Narrow"/>
      <family val="2"/>
      <scheme val="minor"/>
    </font>
    <font>
      <sz val="26"/>
      <name val="Aptos Display"/>
      <family val="2"/>
      <scheme val="major"/>
    </font>
    <font>
      <sz val="10"/>
      <color theme="1"/>
      <name val="Aptos Narrow"/>
      <family val="2"/>
      <scheme val="minor"/>
    </font>
    <font>
      <sz val="18"/>
      <color theme="3"/>
      <name val="Arial Nova Cond"/>
      <family val="2"/>
    </font>
    <font>
      <b/>
      <sz val="10"/>
      <color theme="1"/>
      <name val="Aptos Narrow"/>
      <family val="2"/>
      <scheme val="minor"/>
    </font>
    <font>
      <b/>
      <sz val="18"/>
      <color theme="1"/>
      <name val="Aptos Narrow"/>
      <family val="2"/>
      <scheme val="minor"/>
    </font>
    <font>
      <sz val="11"/>
      <color rgb="FFFF0000"/>
      <name val="Aptos Narrow"/>
      <family val="2"/>
      <scheme val="minor"/>
    </font>
    <font>
      <b/>
      <sz val="11"/>
      <color theme="0"/>
      <name val="Aptos Narrow"/>
      <family val="2"/>
      <scheme val="minor"/>
    </font>
    <font>
      <b/>
      <sz val="11"/>
      <color rgb="FF92D050"/>
      <name val="Aptos Narrow"/>
      <family val="2"/>
      <scheme val="minor"/>
    </font>
    <font>
      <sz val="26"/>
      <color theme="1"/>
      <name val="Aptos Display"/>
      <family val="2"/>
      <scheme val="major"/>
    </font>
    <font>
      <sz val="18"/>
      <color theme="1"/>
      <name val="Aptos Display"/>
      <family val="2"/>
      <scheme val="major"/>
    </font>
    <font>
      <b/>
      <sz val="12"/>
      <color rgb="FFFF0000"/>
      <name val="Aptos Narrow"/>
      <family val="2"/>
      <scheme val="minor"/>
    </font>
    <font>
      <b/>
      <u/>
      <sz val="11"/>
      <color theme="1"/>
      <name val="Aptos Narrow"/>
      <family val="2"/>
      <scheme val="minor"/>
    </font>
    <font>
      <u/>
      <sz val="11"/>
      <color theme="1"/>
      <name val="Aptos Narrow"/>
      <family val="2"/>
      <scheme val="minor"/>
    </font>
    <font>
      <sz val="10"/>
      <color rgb="FFFF0000"/>
      <name val="Aptos Narrow"/>
      <family val="2"/>
      <scheme val="minor"/>
    </font>
    <font>
      <sz val="10"/>
      <color rgb="FF000000"/>
      <name val="Times New Roman"/>
      <family val="1"/>
    </font>
    <font>
      <sz val="9"/>
      <color rgb="FF000000"/>
      <name val="Times New Roman"/>
      <family val="1"/>
    </font>
    <font>
      <i/>
      <sz val="11"/>
      <color theme="1"/>
      <name val="Aptos Narrow"/>
      <family val="2"/>
      <scheme val="minor"/>
    </font>
    <font>
      <b/>
      <sz val="11"/>
      <color rgb="FF000000"/>
      <name val="Times New Roman"/>
      <family val="1"/>
    </font>
    <font>
      <sz val="11"/>
      <color rgb="FF000000"/>
      <name val="Calibri"/>
      <family val="2"/>
    </font>
    <font>
      <b/>
      <sz val="11"/>
      <name val="Calibri"/>
      <family val="2"/>
    </font>
    <font>
      <b/>
      <sz val="9"/>
      <color theme="1"/>
      <name val="Aptos Narrow"/>
      <family val="2"/>
      <scheme val="minor"/>
    </font>
    <font>
      <b/>
      <sz val="9"/>
      <name val="Calibri"/>
      <family val="2"/>
    </font>
    <font>
      <b/>
      <sz val="11"/>
      <color rgb="FF000000"/>
      <name val="Calibri"/>
      <family val="2"/>
    </font>
    <font>
      <sz val="11"/>
      <name val="Calibri"/>
      <family val="2"/>
    </font>
    <font>
      <sz val="10"/>
      <color rgb="FFFF0000"/>
      <name val="Times New Roman"/>
      <family val="1"/>
    </font>
    <font>
      <b/>
      <sz val="11"/>
      <color rgb="FFFFFFFF"/>
      <name val="Aptos Narrow"/>
      <family val="2"/>
      <scheme val="minor"/>
    </font>
    <font>
      <strike/>
      <sz val="11"/>
      <color theme="1"/>
      <name val="Aptos Narrow"/>
      <family val="2"/>
      <scheme val="minor"/>
    </font>
    <font>
      <sz val="9.5"/>
      <color rgb="FF000000"/>
      <name val="Albany AMT"/>
    </font>
    <font>
      <b/>
      <sz val="10"/>
      <color rgb="FFFFFFFF"/>
      <name val="Aptos Narrow"/>
      <family val="2"/>
      <scheme val="minor"/>
    </font>
    <font>
      <b/>
      <sz val="10"/>
      <color rgb="FFFF0000"/>
      <name val="Aptos Narrow"/>
      <family val="2"/>
      <scheme val="minor"/>
    </font>
    <font>
      <sz val="11"/>
      <name val="Aptos Narrow"/>
      <family val="2"/>
      <scheme val="minor"/>
    </font>
    <font>
      <sz val="10"/>
      <name val="Aptos Narrow"/>
      <family val="2"/>
      <scheme val="minor"/>
    </font>
  </fonts>
  <fills count="2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
      <patternFill patternType="solid">
        <fgColor rgb="FFC00000"/>
        <bgColor indexed="64"/>
      </patternFill>
    </fill>
    <fill>
      <patternFill patternType="solid">
        <fgColor theme="6"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5"/>
        <bgColor indexed="64"/>
      </patternFill>
    </fill>
    <fill>
      <patternFill patternType="solid">
        <fgColor theme="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rgb="FFC0E6F5"/>
      </patternFill>
    </fill>
    <fill>
      <patternFill patternType="solid">
        <fgColor theme="6" tint="0.39997558519241921"/>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tint="-0.14999847407452621"/>
        <bgColor indexed="64"/>
      </patternFill>
    </fill>
    <fill>
      <patternFill patternType="solid">
        <fgColor rgb="FF514B64"/>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FFFFFF"/>
      </left>
      <right style="medium">
        <color rgb="FFFFFFFF"/>
      </right>
      <top style="medium">
        <color rgb="FFFFFFFF"/>
      </top>
      <bottom style="medium">
        <color rgb="FFFFFFFF"/>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49" fontId="3" fillId="0" borderId="0">
      <alignment horizontal="left" vertical="top"/>
    </xf>
    <xf numFmtId="0" fontId="5" fillId="0" borderId="0">
      <alignment horizontal="left" vertical="top"/>
    </xf>
    <xf numFmtId="0" fontId="17" fillId="0" borderId="0"/>
    <xf numFmtId="43" fontId="17" fillId="0" borderId="0" applyFont="0" applyFill="0" applyBorder="0" applyAlignment="0" applyProtection="0"/>
    <xf numFmtId="9" fontId="17" fillId="0" borderId="0" applyFont="0" applyFill="0" applyBorder="0" applyAlignment="0" applyProtection="0"/>
    <xf numFmtId="0" fontId="30" fillId="0" borderId="0"/>
    <xf numFmtId="9" fontId="30" fillId="0" borderId="0" applyFont="0" applyFill="0" applyBorder="0" applyAlignment="0" applyProtection="0"/>
    <xf numFmtId="43" fontId="30" fillId="0" borderId="0" applyFont="0" applyFill="0" applyBorder="0" applyAlignment="0" applyProtection="0"/>
  </cellStyleXfs>
  <cellXfs count="280">
    <xf numFmtId="0" fontId="0" fillId="0" borderId="0" xfId="0"/>
    <xf numFmtId="0" fontId="4" fillId="0" borderId="0" xfId="0" applyFont="1" applyAlignment="1">
      <alignment vertical="top"/>
    </xf>
    <xf numFmtId="0" fontId="0" fillId="0" borderId="0" xfId="0" applyAlignment="1">
      <alignment vertical="top"/>
    </xf>
    <xf numFmtId="164" fontId="0" fillId="0" borderId="0" xfId="1" applyNumberFormat="1" applyFont="1" applyAlignment="1">
      <alignment vertical="top"/>
    </xf>
    <xf numFmtId="9" fontId="0" fillId="0" borderId="0" xfId="0" applyNumberFormat="1" applyAlignment="1">
      <alignment vertical="top"/>
    </xf>
    <xf numFmtId="0" fontId="2" fillId="0" borderId="1" xfId="0"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0" fillId="0" borderId="3" xfId="0" applyBorder="1" applyAlignment="1">
      <alignment vertical="top"/>
    </xf>
    <xf numFmtId="164" fontId="0" fillId="0" borderId="2" xfId="0" applyNumberFormat="1" applyBorder="1" applyAlignment="1">
      <alignment vertical="top"/>
    </xf>
    <xf numFmtId="164" fontId="0" fillId="0" borderId="3" xfId="0" applyNumberFormat="1" applyBorder="1" applyAlignment="1">
      <alignment vertical="top"/>
    </xf>
    <xf numFmtId="9" fontId="0" fillId="0" borderId="3" xfId="2" applyFont="1" applyBorder="1" applyAlignment="1">
      <alignment vertical="top"/>
    </xf>
    <xf numFmtId="9" fontId="0" fillId="0" borderId="2" xfId="2" applyFont="1" applyBorder="1" applyAlignment="1">
      <alignment vertical="top"/>
    </xf>
    <xf numFmtId="164" fontId="0" fillId="0" borderId="3" xfId="1" applyNumberFormat="1" applyFont="1" applyBorder="1" applyAlignment="1">
      <alignment vertical="top"/>
    </xf>
    <xf numFmtId="164" fontId="0" fillId="0" borderId="2" xfId="1" applyNumberFormat="1" applyFont="1" applyBorder="1" applyAlignment="1">
      <alignment vertical="top"/>
    </xf>
    <xf numFmtId="0" fontId="6" fillId="0" borderId="3" xfId="0" applyFont="1" applyBorder="1" applyAlignment="1">
      <alignment vertical="top"/>
    </xf>
    <xf numFmtId="0" fontId="0" fillId="0" borderId="4" xfId="0" applyBorder="1" applyAlignment="1">
      <alignment vertical="top"/>
    </xf>
    <xf numFmtId="164" fontId="6" fillId="0" borderId="4" xfId="0" applyNumberFormat="1" applyFont="1" applyBorder="1" applyAlignment="1">
      <alignment vertical="top"/>
    </xf>
    <xf numFmtId="0" fontId="0" fillId="0" borderId="0" xfId="0" applyAlignment="1">
      <alignment horizontal="center"/>
    </xf>
    <xf numFmtId="0" fontId="4" fillId="3" borderId="0" xfId="0" applyFont="1" applyFill="1" applyAlignment="1">
      <alignment vertical="top"/>
    </xf>
    <xf numFmtId="0" fontId="6" fillId="0" borderId="0" xfId="0" applyFont="1" applyAlignment="1">
      <alignment vertical="top"/>
    </xf>
    <xf numFmtId="0" fontId="9" fillId="4" borderId="0" xfId="0" applyFont="1" applyFill="1"/>
    <xf numFmtId="0" fontId="9" fillId="5" borderId="0" xfId="0" applyFont="1" applyFill="1"/>
    <xf numFmtId="0" fontId="9" fillId="4" borderId="0" xfId="0" applyFont="1" applyFill="1" applyAlignment="1">
      <alignment vertical="center" wrapText="1"/>
    </xf>
    <xf numFmtId="0" fontId="10" fillId="4" borderId="0" xfId="0" applyFont="1" applyFill="1" applyAlignment="1">
      <alignment vertical="center" wrapText="1"/>
    </xf>
    <xf numFmtId="0" fontId="10" fillId="4" borderId="0" xfId="0" applyFont="1" applyFill="1" applyAlignment="1">
      <alignment horizontal="center" vertical="center" wrapText="1"/>
    </xf>
    <xf numFmtId="0" fontId="10" fillId="5" borderId="0" xfId="0" applyFont="1" applyFill="1" applyAlignment="1">
      <alignment horizontal="center" vertical="center" wrapText="1"/>
    </xf>
    <xf numFmtId="0" fontId="9" fillId="6" borderId="0" xfId="0" applyFont="1" applyFill="1" applyAlignment="1">
      <alignment horizontal="center" vertical="center" wrapText="1"/>
    </xf>
    <xf numFmtId="49" fontId="0" fillId="0" borderId="0" xfId="0" applyNumberFormat="1"/>
    <xf numFmtId="3" fontId="0" fillId="0" borderId="0" xfId="0" applyNumberFormat="1"/>
    <xf numFmtId="166" fontId="0" fillId="0" borderId="0" xfId="2" applyNumberFormat="1" applyFont="1"/>
    <xf numFmtId="166" fontId="0" fillId="3" borderId="0" xfId="2" applyNumberFormat="1" applyFont="1" applyFill="1"/>
    <xf numFmtId="0" fontId="0" fillId="7" borderId="0" xfId="0" applyFill="1"/>
    <xf numFmtId="0" fontId="0" fillId="8" borderId="0" xfId="0" applyFill="1"/>
    <xf numFmtId="1" fontId="0" fillId="8" borderId="0" xfId="0" applyNumberFormat="1" applyFill="1"/>
    <xf numFmtId="0" fontId="4" fillId="8" borderId="0" xfId="0" applyFont="1" applyFill="1" applyAlignment="1">
      <alignment vertical="top"/>
    </xf>
    <xf numFmtId="164" fontId="4" fillId="8" borderId="0" xfId="1" applyNumberFormat="1" applyFont="1" applyFill="1" applyBorder="1" applyAlignment="1">
      <alignment vertical="top"/>
    </xf>
    <xf numFmtId="9" fontId="4" fillId="8" borderId="0" xfId="2" applyFont="1" applyFill="1" applyBorder="1" applyAlignment="1">
      <alignment vertical="top"/>
    </xf>
    <xf numFmtId="165" fontId="4" fillId="8" borderId="0" xfId="1" applyNumberFormat="1" applyFont="1" applyFill="1" applyBorder="1" applyAlignment="1">
      <alignment vertical="top"/>
    </xf>
    <xf numFmtId="9" fontId="0" fillId="8" borderId="0" xfId="0" applyNumberFormat="1" applyFill="1"/>
    <xf numFmtId="165" fontId="0" fillId="8" borderId="0" xfId="0" applyNumberFormat="1" applyFill="1"/>
    <xf numFmtId="164" fontId="0" fillId="8" borderId="0" xfId="0" applyNumberFormat="1" applyFill="1"/>
    <xf numFmtId="164" fontId="0" fillId="0" borderId="0" xfId="1" applyNumberFormat="1" applyFont="1" applyFill="1" applyBorder="1" applyAlignment="1">
      <alignment vertical="top"/>
    </xf>
    <xf numFmtId="164" fontId="1" fillId="0" borderId="0" xfId="1" applyNumberFormat="1" applyFont="1" applyFill="1" applyBorder="1" applyAlignment="1">
      <alignment vertical="top"/>
    </xf>
    <xf numFmtId="164" fontId="4" fillId="0" borderId="0" xfId="1" applyNumberFormat="1" applyFont="1" applyBorder="1" applyAlignment="1">
      <alignment vertical="top"/>
    </xf>
    <xf numFmtId="43" fontId="4" fillId="0" borderId="0" xfId="1" applyFont="1" applyBorder="1" applyAlignment="1">
      <alignment vertical="top"/>
    </xf>
    <xf numFmtId="164" fontId="4" fillId="3" borderId="0" xfId="1" applyNumberFormat="1" applyFont="1" applyFill="1" applyBorder="1" applyAlignment="1">
      <alignment vertical="top"/>
    </xf>
    <xf numFmtId="43" fontId="4" fillId="3" borderId="0" xfId="1" applyFont="1" applyFill="1" applyBorder="1" applyAlignment="1">
      <alignment vertical="top"/>
    </xf>
    <xf numFmtId="0" fontId="0" fillId="0" borderId="0" xfId="0" applyAlignment="1">
      <alignment horizontal="left"/>
    </xf>
    <xf numFmtId="0" fontId="11" fillId="0" borderId="0" xfId="0" applyFont="1" applyAlignment="1">
      <alignment horizontal="left"/>
    </xf>
    <xf numFmtId="0" fontId="12" fillId="0" borderId="0" xfId="0" applyFont="1" applyAlignment="1">
      <alignment horizontal="left"/>
    </xf>
    <xf numFmtId="1" fontId="4" fillId="8" borderId="0" xfId="1" applyNumberFormat="1" applyFont="1" applyFill="1" applyBorder="1" applyAlignment="1">
      <alignment vertical="top"/>
    </xf>
    <xf numFmtId="0" fontId="2" fillId="0" borderId="4" xfId="0" applyFont="1" applyBorder="1" applyAlignment="1">
      <alignment vertical="top"/>
    </xf>
    <xf numFmtId="9" fontId="0" fillId="0" borderId="4" xfId="2" applyFont="1" applyBorder="1" applyAlignment="1">
      <alignment vertical="top"/>
    </xf>
    <xf numFmtId="0" fontId="6" fillId="0" borderId="6" xfId="0" applyFont="1" applyBorder="1" applyAlignment="1">
      <alignment vertical="top"/>
    </xf>
    <xf numFmtId="164" fontId="0" fillId="0" borderId="7" xfId="1" applyNumberFormat="1" applyFont="1" applyBorder="1" applyAlignment="1">
      <alignment vertical="top"/>
    </xf>
    <xf numFmtId="0" fontId="2" fillId="0" borderId="6" xfId="0" applyFont="1" applyBorder="1" applyAlignment="1">
      <alignment vertical="top"/>
    </xf>
    <xf numFmtId="0" fontId="6" fillId="0" borderId="4" xfId="0" applyFont="1" applyBorder="1" applyAlignment="1">
      <alignment vertical="top"/>
    </xf>
    <xf numFmtId="164" fontId="0" fillId="0" borderId="4" xfId="1" applyNumberFormat="1" applyFont="1" applyBorder="1" applyAlignment="1">
      <alignment vertical="top"/>
    </xf>
    <xf numFmtId="0" fontId="8" fillId="0" borderId="0" xfId="0" applyFont="1" applyAlignment="1">
      <alignment horizontal="center"/>
    </xf>
    <xf numFmtId="164" fontId="6" fillId="0" borderId="3" xfId="0" applyNumberFormat="1" applyFont="1" applyBorder="1" applyAlignment="1">
      <alignment vertical="top"/>
    </xf>
    <xf numFmtId="164" fontId="6" fillId="0" borderId="7" xfId="0" applyNumberFormat="1" applyFont="1" applyBorder="1" applyAlignment="1">
      <alignment vertical="top"/>
    </xf>
    <xf numFmtId="1" fontId="0" fillId="0" borderId="0" xfId="0" applyNumberFormat="1"/>
    <xf numFmtId="165" fontId="0" fillId="0" borderId="0" xfId="0" applyNumberFormat="1"/>
    <xf numFmtId="0" fontId="14" fillId="0" borderId="0" xfId="0" applyFont="1" applyAlignment="1">
      <alignment horizontal="center"/>
    </xf>
    <xf numFmtId="0" fontId="14" fillId="0" borderId="0" xfId="0" applyFont="1"/>
    <xf numFmtId="164" fontId="0" fillId="0" borderId="0" xfId="0" applyNumberFormat="1"/>
    <xf numFmtId="0" fontId="0" fillId="0" borderId="4" xfId="0" applyBorder="1"/>
    <xf numFmtId="0" fontId="2" fillId="0" borderId="8" xfId="0" applyFont="1" applyBorder="1" applyAlignment="1">
      <alignment vertical="top"/>
    </xf>
    <xf numFmtId="164" fontId="0" fillId="0" borderId="9" xfId="1" applyNumberFormat="1" applyFont="1" applyBorder="1" applyAlignment="1">
      <alignment vertical="top"/>
    </xf>
    <xf numFmtId="164" fontId="0" fillId="0" borderId="4" xfId="0" applyNumberFormat="1" applyBorder="1" applyAlignment="1">
      <alignment vertical="top"/>
    </xf>
    <xf numFmtId="164" fontId="6" fillId="0" borderId="2" xfId="0" applyNumberFormat="1" applyFont="1" applyBorder="1" applyAlignment="1">
      <alignment vertical="top"/>
    </xf>
    <xf numFmtId="164" fontId="2" fillId="0" borderId="3" xfId="0" applyNumberFormat="1" applyFont="1" applyBorder="1"/>
    <xf numFmtId="164" fontId="2" fillId="0" borderId="4" xfId="0" applyNumberFormat="1" applyFont="1" applyBorder="1"/>
    <xf numFmtId="0" fontId="2" fillId="0" borderId="10" xfId="0" applyFont="1" applyBorder="1" applyAlignment="1">
      <alignment vertical="top"/>
    </xf>
    <xf numFmtId="0" fontId="6" fillId="0" borderId="0" xfId="0" applyFont="1" applyAlignment="1">
      <alignment vertical="center" wrapText="1"/>
    </xf>
    <xf numFmtId="0" fontId="4" fillId="0" borderId="0" xfId="0" applyFont="1" applyAlignment="1">
      <alignment vertical="center" wrapText="1"/>
    </xf>
    <xf numFmtId="164" fontId="1" fillId="0" borderId="0" xfId="1" applyNumberFormat="1" applyFont="1" applyFill="1" applyBorder="1" applyAlignment="1">
      <alignment vertical="center" wrapText="1"/>
    </xf>
    <xf numFmtId="167" fontId="4" fillId="8" borderId="0" xfId="2" applyNumberFormat="1" applyFont="1" applyFill="1" applyBorder="1" applyAlignment="1">
      <alignment vertical="top"/>
    </xf>
    <xf numFmtId="0" fontId="4" fillId="11" borderId="0" xfId="0" applyFont="1" applyFill="1" applyAlignment="1">
      <alignment vertical="top"/>
    </xf>
    <xf numFmtId="0" fontId="0" fillId="3" borderId="0" xfId="0" applyFill="1"/>
    <xf numFmtId="0" fontId="0" fillId="7" borderId="1" xfId="0" applyFill="1" applyBorder="1" applyAlignment="1">
      <alignment horizontal="right"/>
    </xf>
    <xf numFmtId="9" fontId="0" fillId="7" borderId="1" xfId="0" applyNumberFormat="1" applyFill="1" applyBorder="1"/>
    <xf numFmtId="0" fontId="0" fillId="7" borderId="0" xfId="0" applyFill="1" applyAlignment="1">
      <alignment horizontal="center"/>
    </xf>
    <xf numFmtId="0" fontId="0" fillId="7" borderId="0" xfId="0" applyFill="1" applyAlignment="1">
      <alignment horizontal="center" vertical="top"/>
    </xf>
    <xf numFmtId="164" fontId="0" fillId="7" borderId="0" xfId="1" applyNumberFormat="1" applyFont="1" applyFill="1" applyAlignment="1">
      <alignment vertical="top"/>
    </xf>
    <xf numFmtId="164" fontId="0" fillId="7" borderId="0" xfId="0" applyNumberFormat="1" applyFill="1"/>
    <xf numFmtId="164" fontId="0" fillId="3" borderId="3" xfId="1" applyNumberFormat="1" applyFont="1" applyFill="1" applyBorder="1" applyAlignment="1">
      <alignment vertical="top"/>
    </xf>
    <xf numFmtId="164" fontId="0" fillId="3" borderId="4" xfId="1" applyNumberFormat="1" applyFont="1" applyFill="1" applyBorder="1" applyAlignment="1">
      <alignment vertical="top"/>
    </xf>
    <xf numFmtId="164" fontId="0" fillId="3" borderId="2" xfId="1" applyNumberFormat="1" applyFont="1" applyFill="1" applyBorder="1" applyAlignment="1">
      <alignment vertical="top"/>
    </xf>
    <xf numFmtId="164" fontId="0" fillId="3" borderId="7" xfId="1" applyNumberFormat="1" applyFont="1" applyFill="1" applyBorder="1" applyAlignment="1">
      <alignment vertical="top"/>
    </xf>
    <xf numFmtId="0" fontId="16" fillId="7" borderId="0" xfId="0" applyFont="1" applyFill="1" applyAlignment="1">
      <alignment horizontal="center" vertical="center" wrapText="1"/>
    </xf>
    <xf numFmtId="0" fontId="0" fillId="7" borderId="1" xfId="0" applyFill="1" applyBorder="1"/>
    <xf numFmtId="9" fontId="8" fillId="0" borderId="0" xfId="0" applyNumberFormat="1" applyFont="1" applyAlignment="1">
      <alignment horizontal="left"/>
    </xf>
    <xf numFmtId="0" fontId="4" fillId="12" borderId="0" xfId="0" applyFont="1" applyFill="1" applyAlignment="1">
      <alignment vertical="top"/>
    </xf>
    <xf numFmtId="0" fontId="4" fillId="13" borderId="0" xfId="0" applyFont="1" applyFill="1" applyAlignment="1">
      <alignment vertical="top"/>
    </xf>
    <xf numFmtId="43" fontId="4" fillId="0" borderId="0" xfId="1" applyFont="1" applyBorder="1" applyAlignment="1">
      <alignment horizontal="right" vertical="top"/>
    </xf>
    <xf numFmtId="1" fontId="4" fillId="0" borderId="0" xfId="0" applyNumberFormat="1" applyFont="1" applyAlignment="1">
      <alignment vertical="top"/>
    </xf>
    <xf numFmtId="1" fontId="4" fillId="3" borderId="0" xfId="0" applyNumberFormat="1" applyFont="1" applyFill="1" applyAlignment="1">
      <alignment vertical="top"/>
    </xf>
    <xf numFmtId="0" fontId="0" fillId="0" borderId="0" xfId="0" applyAlignment="1">
      <alignment horizontal="left" vertical="top"/>
    </xf>
    <xf numFmtId="0" fontId="17" fillId="14" borderId="1" xfId="0" quotePrefix="1" applyFont="1" applyFill="1" applyBorder="1" applyAlignment="1">
      <alignment horizontal="right"/>
    </xf>
    <xf numFmtId="3" fontId="0" fillId="14" borderId="1" xfId="0" applyNumberFormat="1" applyFill="1" applyBorder="1" applyAlignment="1">
      <alignment horizontal="center" vertical="top"/>
    </xf>
    <xf numFmtId="0" fontId="17" fillId="15" borderId="1" xfId="0" applyFont="1" applyFill="1" applyBorder="1" applyAlignment="1">
      <alignment horizontal="right"/>
    </xf>
    <xf numFmtId="3" fontId="0" fillId="15" borderId="1" xfId="0" applyNumberFormat="1" applyFill="1" applyBorder="1" applyAlignment="1">
      <alignment horizontal="center"/>
    </xf>
    <xf numFmtId="3" fontId="0" fillId="16" borderId="1" xfId="0" applyNumberFormat="1" applyFill="1" applyBorder="1" applyAlignment="1">
      <alignment horizontal="center"/>
    </xf>
    <xf numFmtId="3" fontId="0" fillId="14" borderId="1" xfId="0" applyNumberFormat="1" applyFill="1" applyBorder="1" applyAlignment="1">
      <alignment horizontal="center" vertical="center"/>
    </xf>
    <xf numFmtId="0" fontId="0" fillId="15" borderId="1" xfId="0" applyFill="1" applyBorder="1" applyAlignment="1">
      <alignment horizontal="right"/>
    </xf>
    <xf numFmtId="0" fontId="17" fillId="0" borderId="0" xfId="0" quotePrefix="1" applyFont="1" applyAlignment="1">
      <alignment horizontal="right"/>
    </xf>
    <xf numFmtId="10" fontId="0" fillId="14" borderId="0" xfId="2" applyNumberFormat="1" applyFont="1" applyFill="1" applyAlignment="1">
      <alignment horizontal="center" vertical="top"/>
    </xf>
    <xf numFmtId="10" fontId="0" fillId="15" borderId="0" xfId="2" applyNumberFormat="1" applyFont="1" applyFill="1" applyAlignment="1">
      <alignment horizontal="center" vertical="top"/>
    </xf>
    <xf numFmtId="10" fontId="0" fillId="0" borderId="0" xfId="2" applyNumberFormat="1" applyFont="1" applyFill="1" applyAlignment="1">
      <alignment horizontal="center" vertical="top"/>
    </xf>
    <xf numFmtId="0" fontId="19" fillId="0" borderId="1" xfId="0" applyFont="1" applyBorder="1" applyAlignment="1">
      <alignment horizontal="center" vertical="center"/>
    </xf>
    <xf numFmtId="0" fontId="17" fillId="0" borderId="0" xfId="0" applyFont="1" applyAlignment="1">
      <alignment horizontal="right" vertical="top"/>
    </xf>
    <xf numFmtId="3" fontId="21" fillId="0" borderId="1" xfId="0" applyNumberFormat="1" applyFont="1" applyBorder="1" applyAlignment="1">
      <alignment horizontal="right" vertical="center"/>
    </xf>
    <xf numFmtId="168" fontId="2" fillId="0" borderId="2" xfId="0" applyNumberFormat="1" applyFont="1" applyBorder="1"/>
    <xf numFmtId="3" fontId="21" fillId="0" borderId="0" xfId="0" applyNumberFormat="1" applyFont="1" applyAlignment="1">
      <alignment horizontal="right" vertical="center"/>
    </xf>
    <xf numFmtId="168" fontId="0" fillId="0" borderId="0" xfId="0" applyNumberFormat="1" applyAlignment="1">
      <alignment horizontal="center" vertical="center"/>
    </xf>
    <xf numFmtId="0" fontId="22" fillId="18" borderId="1" xfId="0" applyFont="1" applyFill="1" applyBorder="1" applyAlignment="1">
      <alignment horizontal="center" vertical="center" wrapText="1"/>
    </xf>
    <xf numFmtId="0" fontId="17" fillId="0" borderId="1" xfId="0" applyFont="1" applyBorder="1" applyAlignment="1">
      <alignment horizontal="center" vertical="center"/>
    </xf>
    <xf numFmtId="0" fontId="0" fillId="0" borderId="1" xfId="0" applyBorder="1" applyAlignment="1">
      <alignment horizontal="center" vertical="center"/>
    </xf>
    <xf numFmtId="0" fontId="17" fillId="0" borderId="0" xfId="0" applyFont="1" applyAlignment="1">
      <alignment horizontal="center" vertical="center"/>
    </xf>
    <xf numFmtId="0" fontId="6" fillId="14" borderId="4" xfId="0" applyFont="1" applyFill="1" applyBorder="1" applyAlignment="1">
      <alignment horizontal="center" vertical="center" wrapText="1"/>
    </xf>
    <xf numFmtId="0" fontId="23" fillId="19" borderId="4" xfId="0" applyFont="1" applyFill="1" applyBorder="1" applyAlignment="1">
      <alignment horizontal="center" vertical="center" wrapText="1"/>
    </xf>
    <xf numFmtId="0" fontId="23" fillId="3" borderId="11" xfId="0" applyFont="1" applyFill="1" applyBorder="1" applyAlignment="1">
      <alignment horizontal="center" vertical="center" wrapText="1"/>
    </xf>
    <xf numFmtId="0" fontId="23" fillId="3" borderId="1"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6" fillId="15" borderId="1" xfId="0" applyFont="1" applyFill="1" applyBorder="1" applyAlignment="1">
      <alignment horizontal="center" vertical="center" wrapText="1"/>
    </xf>
    <xf numFmtId="0" fontId="24" fillId="16" borderId="1" xfId="0" applyFont="1" applyFill="1" applyBorder="1" applyAlignment="1">
      <alignment horizontal="center" vertical="center" wrapText="1"/>
    </xf>
    <xf numFmtId="0" fontId="18" fillId="0" borderId="0" xfId="0" applyFont="1" applyAlignment="1">
      <alignment horizontal="center" vertical="center" wrapText="1"/>
    </xf>
    <xf numFmtId="0" fontId="0" fillId="0" borderId="0" xfId="0" applyAlignment="1">
      <alignment horizontal="center" vertical="center"/>
    </xf>
    <xf numFmtId="169" fontId="25" fillId="0" borderId="12" xfId="0" applyNumberFormat="1" applyFont="1" applyBorder="1" applyAlignment="1">
      <alignment horizontal="center" vertical="center" shrinkToFit="1"/>
    </xf>
    <xf numFmtId="0" fontId="0" fillId="0" borderId="4" xfId="0" applyBorder="1" applyAlignment="1">
      <alignment vertical="center"/>
    </xf>
    <xf numFmtId="0" fontId="0" fillId="0" borderId="4" xfId="0" quotePrefix="1" applyBorder="1" applyAlignment="1">
      <alignment horizontal="center" vertical="center"/>
    </xf>
    <xf numFmtId="0" fontId="0" fillId="0" borderId="1" xfId="0" applyBorder="1" applyAlignment="1">
      <alignment vertical="center"/>
    </xf>
    <xf numFmtId="0" fontId="26" fillId="0" borderId="13" xfId="0" applyFont="1" applyBorder="1" applyAlignment="1">
      <alignment horizontal="center" vertical="center" wrapText="1"/>
    </xf>
    <xf numFmtId="168" fontId="0" fillId="0" borderId="1" xfId="1" applyNumberFormat="1" applyFont="1" applyBorder="1" applyAlignment="1">
      <alignment vertical="center"/>
    </xf>
    <xf numFmtId="168" fontId="0" fillId="0" borderId="10" xfId="1" applyNumberFormat="1" applyFont="1" applyBorder="1" applyAlignment="1">
      <alignment vertical="center"/>
    </xf>
    <xf numFmtId="170" fontId="0" fillId="0" borderId="1" xfId="1" applyNumberFormat="1" applyFont="1" applyBorder="1" applyAlignment="1">
      <alignment vertical="center"/>
    </xf>
    <xf numFmtId="164" fontId="0" fillId="0" borderId="0" xfId="0" applyNumberFormat="1" applyAlignment="1">
      <alignment horizontal="center" vertical="center"/>
    </xf>
    <xf numFmtId="166" fontId="0" fillId="0" borderId="0" xfId="2" applyNumberFormat="1" applyFont="1" applyAlignment="1">
      <alignment horizontal="center" vertical="center"/>
    </xf>
    <xf numFmtId="169" fontId="25" fillId="0" borderId="13" xfId="0" applyNumberFormat="1" applyFont="1" applyBorder="1" applyAlignment="1">
      <alignment horizontal="center" vertical="center" shrinkToFit="1"/>
    </xf>
    <xf numFmtId="0" fontId="0" fillId="0" borderId="1" xfId="0" quotePrefix="1" applyBorder="1" applyAlignment="1">
      <alignment horizontal="center" vertical="center"/>
    </xf>
    <xf numFmtId="1" fontId="25" fillId="0" borderId="13" xfId="0" applyNumberFormat="1" applyFont="1" applyBorder="1" applyAlignment="1">
      <alignment horizontal="center" vertical="center" shrinkToFit="1"/>
    </xf>
    <xf numFmtId="168" fontId="0" fillId="0" borderId="1" xfId="1" applyNumberFormat="1" applyFont="1" applyFill="1" applyBorder="1" applyAlignment="1">
      <alignment vertical="center"/>
    </xf>
    <xf numFmtId="166" fontId="0" fillId="3" borderId="0" xfId="2" applyNumberFormat="1" applyFont="1" applyFill="1" applyAlignment="1">
      <alignment horizontal="center" vertical="center"/>
    </xf>
    <xf numFmtId="0" fontId="0" fillId="20" borderId="1" xfId="0" applyFill="1" applyBorder="1" applyAlignment="1">
      <alignment vertical="center" wrapText="1"/>
    </xf>
    <xf numFmtId="14" fontId="0" fillId="0" borderId="0" xfId="0" applyNumberFormat="1" applyAlignment="1">
      <alignment horizontal="center" vertical="center"/>
    </xf>
    <xf numFmtId="166" fontId="0" fillId="17" borderId="0" xfId="2" applyNumberFormat="1" applyFont="1" applyFill="1" applyAlignment="1">
      <alignment horizontal="center" vertical="center"/>
    </xf>
    <xf numFmtId="0" fontId="0" fillId="20" borderId="1" xfId="0" applyFill="1" applyBorder="1" applyAlignment="1">
      <alignment vertical="center"/>
    </xf>
    <xf numFmtId="0" fontId="17" fillId="21" borderId="0" xfId="0" applyFont="1" applyFill="1" applyAlignment="1">
      <alignment horizontal="left" vertical="top"/>
    </xf>
    <xf numFmtId="14" fontId="0" fillId="21" borderId="0" xfId="0" applyNumberFormat="1" applyFill="1" applyAlignment="1">
      <alignment horizontal="center" vertical="center"/>
    </xf>
    <xf numFmtId="0" fontId="17" fillId="0" borderId="0" xfId="0" applyFont="1" applyAlignment="1">
      <alignment horizontal="left" vertical="top"/>
    </xf>
    <xf numFmtId="0" fontId="0" fillId="22" borderId="1" xfId="0" applyFill="1" applyBorder="1" applyAlignment="1">
      <alignment vertical="center"/>
    </xf>
    <xf numFmtId="1" fontId="25" fillId="0" borderId="14" xfId="0" applyNumberFormat="1" applyFont="1" applyBorder="1" applyAlignment="1">
      <alignment horizontal="center" vertical="center" shrinkToFit="1"/>
    </xf>
    <xf numFmtId="166" fontId="0" fillId="23" borderId="0" xfId="2" applyNumberFormat="1" applyFont="1" applyFill="1" applyAlignment="1">
      <alignment horizontal="center" vertical="center"/>
    </xf>
    <xf numFmtId="0" fontId="0" fillId="0" borderId="0" xfId="0" applyAlignment="1">
      <alignment vertical="center"/>
    </xf>
    <xf numFmtId="0" fontId="0" fillId="19" borderId="1" xfId="0" applyFill="1" applyBorder="1" applyAlignment="1">
      <alignment vertical="center"/>
    </xf>
    <xf numFmtId="168" fontId="17" fillId="17" borderId="1" xfId="1" applyNumberFormat="1" applyFont="1" applyFill="1" applyBorder="1" applyAlignment="1">
      <alignment vertical="center"/>
    </xf>
    <xf numFmtId="164" fontId="27" fillId="0" borderId="10" xfId="1" applyNumberFormat="1" applyFont="1" applyBorder="1" applyAlignment="1">
      <alignment vertical="center"/>
    </xf>
    <xf numFmtId="166" fontId="27" fillId="0" borderId="0" xfId="2" applyNumberFormat="1" applyFont="1" applyAlignment="1">
      <alignment horizontal="center" vertical="center"/>
    </xf>
    <xf numFmtId="0" fontId="17" fillId="0" borderId="0" xfId="0" applyFont="1" applyAlignment="1">
      <alignment horizontal="left" vertical="center"/>
    </xf>
    <xf numFmtId="0" fontId="8" fillId="20" borderId="1" xfId="0" applyFont="1" applyFill="1" applyBorder="1" applyAlignment="1">
      <alignment vertical="center"/>
    </xf>
    <xf numFmtId="0" fontId="17" fillId="0" borderId="1" xfId="0" applyFont="1" applyBorder="1" applyAlignment="1">
      <alignment vertical="center"/>
    </xf>
    <xf numFmtId="0" fontId="0" fillId="3" borderId="1" xfId="0" applyFill="1" applyBorder="1" applyAlignment="1">
      <alignment vertical="center"/>
    </xf>
    <xf numFmtId="168" fontId="0" fillId="24" borderId="1" xfId="1" applyNumberFormat="1" applyFont="1" applyFill="1" applyBorder="1" applyAlignment="1">
      <alignment vertical="center"/>
    </xf>
    <xf numFmtId="0" fontId="0" fillId="0" borderId="0" xfId="0" applyAlignment="1">
      <alignment horizontal="left" vertical="center"/>
    </xf>
    <xf numFmtId="0" fontId="0" fillId="0" borderId="1" xfId="0" applyBorder="1" applyAlignment="1">
      <alignment horizontal="left" vertical="center"/>
    </xf>
    <xf numFmtId="166" fontId="0" fillId="24" borderId="0" xfId="2" applyNumberFormat="1" applyFont="1" applyFill="1" applyAlignment="1">
      <alignment horizontal="center" vertical="center"/>
    </xf>
    <xf numFmtId="168" fontId="0" fillId="0" borderId="1" xfId="1" applyNumberFormat="1" applyFont="1" applyBorder="1" applyAlignment="1">
      <alignment horizontal="center" vertical="center"/>
    </xf>
    <xf numFmtId="168" fontId="0" fillId="0" borderId="10" xfId="1" applyNumberFormat="1" applyFont="1" applyBorder="1" applyAlignment="1">
      <alignment horizontal="center" vertical="center"/>
    </xf>
    <xf numFmtId="0" fontId="0" fillId="0" borderId="10" xfId="0" applyBorder="1" applyAlignment="1">
      <alignment vertical="center"/>
    </xf>
    <xf numFmtId="4" fontId="0" fillId="0" borderId="1" xfId="0" applyNumberFormat="1" applyBorder="1" applyAlignment="1">
      <alignment vertical="center"/>
    </xf>
    <xf numFmtId="168" fontId="0" fillId="0" borderId="10" xfId="1" applyNumberFormat="1" applyFont="1" applyFill="1" applyBorder="1" applyAlignment="1">
      <alignment vertical="center"/>
    </xf>
    <xf numFmtId="168" fontId="17" fillId="0" borderId="10" xfId="1" applyNumberFormat="1" applyFont="1" applyFill="1" applyBorder="1" applyAlignment="1">
      <alignment vertical="center"/>
    </xf>
    <xf numFmtId="1" fontId="0" fillId="0" borderId="0" xfId="0" applyNumberFormat="1" applyAlignment="1">
      <alignment horizontal="center" vertical="center"/>
    </xf>
    <xf numFmtId="3" fontId="0" fillId="0" borderId="0" xfId="0" applyNumberFormat="1" applyAlignment="1">
      <alignment vertical="center"/>
    </xf>
    <xf numFmtId="0" fontId="21" fillId="0" borderId="0" xfId="0" applyFont="1" applyAlignment="1">
      <alignment horizontal="left" vertical="center"/>
    </xf>
    <xf numFmtId="0" fontId="0" fillId="0" borderId="0" xfId="0" applyAlignment="1">
      <alignment horizontal="right" vertical="center"/>
    </xf>
    <xf numFmtId="171" fontId="0" fillId="0" borderId="0" xfId="0" applyNumberFormat="1" applyAlignment="1">
      <alignment horizontal="left" vertical="center"/>
    </xf>
    <xf numFmtId="0" fontId="0" fillId="0" borderId="0" xfId="0" applyAlignment="1">
      <alignment horizontal="right" vertical="top"/>
    </xf>
    <xf numFmtId="3" fontId="0" fillId="0" borderId="0" xfId="0" applyNumberFormat="1" applyAlignment="1">
      <alignment horizontal="right" vertical="top"/>
    </xf>
    <xf numFmtId="0" fontId="14" fillId="0" borderId="0" xfId="0" applyFont="1" applyAlignment="1">
      <alignment horizontal="left" vertical="top"/>
    </xf>
    <xf numFmtId="0" fontId="0" fillId="0" borderId="0" xfId="0" applyAlignment="1">
      <alignment vertical="center" wrapText="1"/>
    </xf>
    <xf numFmtId="0" fontId="2" fillId="0" borderId="0" xfId="0" applyFont="1" applyAlignment="1">
      <alignment horizontal="center" vertical="center" wrapText="1"/>
    </xf>
    <xf numFmtId="3" fontId="0" fillId="0" borderId="0" xfId="0" applyNumberFormat="1" applyAlignment="1">
      <alignment vertical="center" wrapText="1"/>
    </xf>
    <xf numFmtId="0" fontId="28" fillId="25" borderId="15" xfId="0" applyFont="1" applyFill="1" applyBorder="1" applyAlignment="1">
      <alignment vertical="center" wrapText="1"/>
    </xf>
    <xf numFmtId="3" fontId="28" fillId="25" borderId="15" xfId="0" applyNumberFormat="1" applyFont="1" applyFill="1" applyBorder="1" applyAlignment="1">
      <alignment vertical="center" wrapText="1"/>
    </xf>
    <xf numFmtId="0" fontId="2" fillId="0" borderId="0" xfId="0" applyFont="1" applyAlignment="1">
      <alignment vertical="center" wrapText="1"/>
    </xf>
    <xf numFmtId="3" fontId="0" fillId="10" borderId="0" xfId="0" applyNumberFormat="1" applyFill="1" applyAlignment="1">
      <alignment vertical="center" wrapText="1"/>
    </xf>
    <xf numFmtId="0" fontId="0" fillId="10" borderId="0" xfId="0" applyFill="1" applyAlignment="1">
      <alignment vertical="center" wrapText="1"/>
    </xf>
    <xf numFmtId="0" fontId="0" fillId="3" borderId="0" xfId="0" applyFill="1" applyAlignment="1">
      <alignment vertical="center" wrapText="1"/>
    </xf>
    <xf numFmtId="0" fontId="29" fillId="3" borderId="0" xfId="0" applyFont="1" applyFill="1" applyAlignment="1">
      <alignment vertical="center" wrapText="1"/>
    </xf>
    <xf numFmtId="0" fontId="0" fillId="9" borderId="0" xfId="0" applyFill="1" applyAlignment="1">
      <alignment vertical="center" wrapText="1"/>
    </xf>
    <xf numFmtId="0" fontId="29" fillId="9" borderId="0" xfId="0" applyFont="1" applyFill="1" applyAlignment="1">
      <alignment vertical="center" wrapText="1"/>
    </xf>
    <xf numFmtId="0" fontId="0" fillId="26" borderId="0" xfId="0" applyFill="1" applyAlignment="1">
      <alignment vertical="center" wrapText="1"/>
    </xf>
    <xf numFmtId="0" fontId="2" fillId="20" borderId="0" xfId="0" applyFont="1" applyFill="1" applyAlignment="1">
      <alignment horizontal="center"/>
    </xf>
    <xf numFmtId="164" fontId="4" fillId="11" borderId="0" xfId="1" applyNumberFormat="1" applyFont="1" applyFill="1" applyBorder="1" applyAlignment="1">
      <alignment vertical="top"/>
    </xf>
    <xf numFmtId="0" fontId="0" fillId="17" borderId="0" xfId="0" applyFill="1" applyAlignment="1">
      <alignment vertical="center" wrapText="1"/>
    </xf>
    <xf numFmtId="0" fontId="0" fillId="9" borderId="0" xfId="0" applyFill="1"/>
    <xf numFmtId="0" fontId="8" fillId="0" borderId="0" xfId="0" applyFont="1" applyAlignment="1">
      <alignment vertical="center" wrapText="1"/>
    </xf>
    <xf numFmtId="3" fontId="8" fillId="0" borderId="0" xfId="0" applyNumberFormat="1" applyFont="1" applyAlignment="1">
      <alignment vertical="center" wrapText="1"/>
    </xf>
    <xf numFmtId="0" fontId="8" fillId="0" borderId="0" xfId="0" applyFont="1"/>
    <xf numFmtId="0" fontId="0" fillId="3" borderId="0" xfId="0" applyFill="1" applyAlignment="1">
      <alignment horizontal="center"/>
    </xf>
    <xf numFmtId="0" fontId="0" fillId="0" borderId="0" xfId="0" applyAlignment="1">
      <alignment horizontal="right" vertical="center" wrapText="1"/>
    </xf>
    <xf numFmtId="3" fontId="0" fillId="24" borderId="0" xfId="0" applyNumberFormat="1" applyFill="1"/>
    <xf numFmtId="3" fontId="0" fillId="17" borderId="0" xfId="0" applyNumberFormat="1" applyFill="1"/>
    <xf numFmtId="0" fontId="28" fillId="25" borderId="0" xfId="0" applyFont="1" applyFill="1" applyAlignment="1">
      <alignment vertical="center"/>
    </xf>
    <xf numFmtId="0" fontId="2" fillId="0" borderId="0" xfId="0" applyFont="1" applyAlignment="1">
      <alignment vertical="center"/>
    </xf>
    <xf numFmtId="0" fontId="0" fillId="0" borderId="0" xfId="0" applyAlignment="1">
      <alignment horizontal="right"/>
    </xf>
    <xf numFmtId="0" fontId="0" fillId="20" borderId="0" xfId="0" applyFill="1" applyAlignment="1">
      <alignment vertical="center" wrapText="1"/>
    </xf>
    <xf numFmtId="0" fontId="8" fillId="3" borderId="0" xfId="0" applyFont="1" applyFill="1"/>
    <xf numFmtId="0" fontId="4" fillId="0" borderId="0" xfId="0" applyFont="1"/>
    <xf numFmtId="0" fontId="31" fillId="25" borderId="15" xfId="0" applyFont="1" applyFill="1" applyBorder="1" applyAlignment="1">
      <alignment vertical="center" wrapText="1"/>
    </xf>
    <xf numFmtId="164" fontId="4" fillId="0" borderId="0" xfId="1" applyNumberFormat="1" applyFont="1" applyFill="1" applyBorder="1" applyAlignment="1">
      <alignment vertical="top"/>
    </xf>
    <xf numFmtId="43" fontId="4" fillId="0" borderId="0" xfId="1" applyFont="1" applyFill="1" applyBorder="1" applyAlignment="1">
      <alignment vertical="top"/>
    </xf>
    <xf numFmtId="0" fontId="4" fillId="15" borderId="0" xfId="0" applyFont="1" applyFill="1" applyAlignment="1">
      <alignment vertical="top"/>
    </xf>
    <xf numFmtId="0" fontId="16" fillId="3" borderId="0" xfId="0" applyFont="1" applyFill="1" applyAlignment="1">
      <alignment vertical="top"/>
    </xf>
    <xf numFmtId="0" fontId="4" fillId="27" borderId="0" xfId="0" applyFont="1" applyFill="1" applyAlignment="1">
      <alignment vertical="top"/>
    </xf>
    <xf numFmtId="0" fontId="4" fillId="27" borderId="0" xfId="0" applyFont="1" applyFill="1" applyAlignment="1">
      <alignment horizontal="left"/>
    </xf>
    <xf numFmtId="164" fontId="4" fillId="27" borderId="0" xfId="1" applyNumberFormat="1" applyFont="1" applyFill="1" applyBorder="1" applyAlignment="1">
      <alignment vertical="top"/>
    </xf>
    <xf numFmtId="0" fontId="0" fillId="0" borderId="0" xfId="0" quotePrefix="1" applyAlignment="1">
      <alignment horizontal="right"/>
    </xf>
    <xf numFmtId="0" fontId="8" fillId="0" borderId="0" xfId="0" applyFont="1" applyAlignment="1">
      <alignment horizontal="right"/>
    </xf>
    <xf numFmtId="3" fontId="8" fillId="0" borderId="0" xfId="0" applyNumberFormat="1" applyFont="1"/>
    <xf numFmtId="0" fontId="2" fillId="0" borderId="0" xfId="0" applyFont="1"/>
    <xf numFmtId="9" fontId="4" fillId="8" borderId="0" xfId="2" applyFont="1" applyFill="1" applyAlignment="1">
      <alignment vertical="top"/>
    </xf>
    <xf numFmtId="9" fontId="4" fillId="26" borderId="0" xfId="2" applyFont="1" applyFill="1" applyAlignment="1">
      <alignment vertical="top"/>
    </xf>
    <xf numFmtId="9" fontId="4" fillId="27" borderId="0" xfId="2" applyFont="1" applyFill="1" applyAlignment="1">
      <alignment vertical="top"/>
    </xf>
    <xf numFmtId="9" fontId="4" fillId="3" borderId="0" xfId="2" applyFont="1" applyFill="1" applyAlignment="1">
      <alignment vertical="top"/>
    </xf>
    <xf numFmtId="9" fontId="8" fillId="28" borderId="0" xfId="0" applyNumberFormat="1" applyFont="1" applyFill="1"/>
    <xf numFmtId="0" fontId="0" fillId="0" borderId="3" xfId="0" applyBorder="1"/>
    <xf numFmtId="164" fontId="0" fillId="0" borderId="3" xfId="0" applyNumberFormat="1" applyBorder="1"/>
    <xf numFmtId="3" fontId="0" fillId="9" borderId="0" xfId="0" applyNumberFormat="1" applyFill="1"/>
    <xf numFmtId="164" fontId="32" fillId="8" borderId="0" xfId="1" applyNumberFormat="1" applyFont="1" applyFill="1" applyBorder="1" applyAlignment="1">
      <alignment horizontal="right"/>
    </xf>
    <xf numFmtId="9" fontId="4" fillId="8" borderId="0" xfId="1" applyNumberFormat="1" applyFont="1" applyFill="1" applyBorder="1" applyAlignment="1">
      <alignment vertical="top"/>
    </xf>
    <xf numFmtId="0" fontId="2" fillId="0" borderId="11" xfId="0" applyFont="1" applyBorder="1" applyAlignment="1">
      <alignment vertical="top"/>
    </xf>
    <xf numFmtId="164" fontId="0" fillId="0" borderId="3" xfId="1" applyNumberFormat="1" applyFont="1" applyFill="1" applyBorder="1" applyAlignment="1">
      <alignment vertical="top"/>
    </xf>
    <xf numFmtId="164" fontId="0" fillId="0" borderId="7" xfId="1" applyNumberFormat="1" applyFont="1" applyFill="1" applyBorder="1" applyAlignment="1">
      <alignment vertical="top"/>
    </xf>
    <xf numFmtId="164" fontId="0" fillId="0" borderId="2" xfId="1" applyNumberFormat="1" applyFont="1" applyFill="1" applyBorder="1" applyAlignment="1">
      <alignment vertical="top"/>
    </xf>
    <xf numFmtId="164" fontId="0" fillId="0" borderId="4" xfId="1" applyNumberFormat="1" applyFont="1" applyFill="1" applyBorder="1" applyAlignment="1">
      <alignment vertical="top"/>
    </xf>
    <xf numFmtId="1" fontId="0" fillId="0" borderId="0" xfId="0" applyNumberFormat="1" applyAlignment="1">
      <alignment horizontal="left" vertical="top"/>
    </xf>
    <xf numFmtId="1" fontId="17" fillId="0" borderId="1" xfId="0" applyNumberFormat="1" applyFont="1" applyBorder="1" applyAlignment="1">
      <alignment horizontal="center" vertical="center"/>
    </xf>
    <xf numFmtId="1" fontId="0" fillId="0" borderId="4" xfId="0" applyNumberFormat="1" applyBorder="1" applyAlignment="1">
      <alignment vertical="center"/>
    </xf>
    <xf numFmtId="1" fontId="0" fillId="0" borderId="1" xfId="0" applyNumberFormat="1" applyBorder="1" applyAlignment="1">
      <alignment vertical="center"/>
    </xf>
    <xf numFmtId="1" fontId="0" fillId="0" borderId="0" xfId="0" applyNumberFormat="1" applyAlignment="1">
      <alignment vertical="center"/>
    </xf>
    <xf numFmtId="1" fontId="0" fillId="0" borderId="0" xfId="0" applyNumberFormat="1" applyAlignment="1">
      <alignment horizontal="left" vertical="center"/>
    </xf>
    <xf numFmtId="3" fontId="0" fillId="8" borderId="0" xfId="0" applyNumberFormat="1" applyFill="1"/>
    <xf numFmtId="0" fontId="4" fillId="26" borderId="0" xfId="0" applyFont="1" applyFill="1" applyAlignment="1">
      <alignment horizontal="center" vertical="center" textRotation="90" wrapText="1"/>
    </xf>
    <xf numFmtId="164" fontId="0" fillId="0" borderId="1" xfId="1" applyNumberFormat="1" applyFont="1" applyFill="1" applyBorder="1" applyAlignment="1">
      <alignment horizontal="center" vertical="center" wrapText="1"/>
    </xf>
    <xf numFmtId="164" fontId="33" fillId="0" borderId="1" xfId="1" applyNumberFormat="1" applyFont="1" applyFill="1" applyBorder="1" applyAlignment="1">
      <alignment horizontal="center" vertical="center" wrapText="1"/>
    </xf>
    <xf numFmtId="164" fontId="0" fillId="10" borderId="1" xfId="1" applyNumberFormat="1" applyFont="1" applyFill="1" applyBorder="1" applyAlignment="1">
      <alignment horizontal="center" vertical="center" wrapText="1"/>
    </xf>
    <xf numFmtId="164" fontId="1" fillId="10" borderId="1" xfId="1" applyNumberFormat="1" applyFont="1" applyFill="1" applyBorder="1" applyAlignment="1">
      <alignment horizontal="center" vertical="center" wrapText="1"/>
    </xf>
    <xf numFmtId="164" fontId="8" fillId="10" borderId="1" xfId="1" applyNumberFormat="1" applyFont="1" applyFill="1" applyBorder="1" applyAlignment="1">
      <alignment horizontal="center" vertical="center" wrapText="1"/>
    </xf>
    <xf numFmtId="164" fontId="8" fillId="0" borderId="1" xfId="1" applyNumberFormat="1" applyFont="1" applyFill="1" applyBorder="1" applyAlignment="1">
      <alignment horizontal="center" vertical="center" wrapText="1"/>
    </xf>
    <xf numFmtId="0" fontId="8" fillId="0" borderId="0" xfId="0" applyFont="1" applyAlignment="1">
      <alignment horizontal="center" vertical="center"/>
    </xf>
    <xf numFmtId="164" fontId="34" fillId="0" borderId="1" xfId="1" applyNumberFormat="1"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top" wrapText="1"/>
    </xf>
    <xf numFmtId="0" fontId="2" fillId="0" borderId="0" xfId="0" applyFont="1" applyAlignment="1">
      <alignment horizontal="center"/>
    </xf>
    <xf numFmtId="0" fontId="0" fillId="0" borderId="0" xfId="0" applyAlignment="1">
      <alignment horizontal="center"/>
    </xf>
    <xf numFmtId="0" fontId="0" fillId="9" borderId="0" xfId="0" applyFill="1" applyAlignment="1">
      <alignment horizontal="center" wrapText="1"/>
    </xf>
    <xf numFmtId="0" fontId="13" fillId="0" borderId="0" xfId="0" applyFont="1" applyAlignment="1">
      <alignment horizontal="center"/>
    </xf>
    <xf numFmtId="0" fontId="7" fillId="2" borderId="0" xfId="0" applyFont="1" applyFill="1" applyAlignment="1">
      <alignment horizontal="center" vertical="center"/>
    </xf>
    <xf numFmtId="0" fontId="0" fillId="7" borderId="0" xfId="0" applyFill="1" applyAlignment="1">
      <alignment horizontal="center" wrapText="1"/>
    </xf>
    <xf numFmtId="0" fontId="0" fillId="7" borderId="0" xfId="0" applyFill="1" applyAlignment="1">
      <alignment horizontal="center" vertical="center" wrapText="1"/>
    </xf>
    <xf numFmtId="0" fontId="6" fillId="7"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164" fontId="0" fillId="0" borderId="0" xfId="0" applyNumberFormat="1" applyAlignment="1">
      <alignment horizontal="center"/>
    </xf>
    <xf numFmtId="0" fontId="2" fillId="20" borderId="10" xfId="0" applyFont="1" applyFill="1" applyBorder="1" applyAlignment="1">
      <alignment horizontal="center" vertical="center"/>
    </xf>
    <xf numFmtId="0" fontId="2" fillId="20" borderId="16" xfId="0" applyFont="1" applyFill="1" applyBorder="1" applyAlignment="1">
      <alignment horizontal="center" vertical="center"/>
    </xf>
    <xf numFmtId="0" fontId="2" fillId="20" borderId="17" xfId="0" applyFont="1" applyFill="1" applyBorder="1" applyAlignment="1">
      <alignment horizontal="center" vertical="center"/>
    </xf>
    <xf numFmtId="0" fontId="2" fillId="10" borderId="1" xfId="0" applyFont="1" applyFill="1" applyBorder="1" applyAlignment="1">
      <alignment horizontal="center"/>
    </xf>
    <xf numFmtId="0" fontId="33" fillId="0" borderId="1" xfId="0" applyFont="1" applyBorder="1" applyAlignment="1">
      <alignment horizontal="center" vertical="center"/>
    </xf>
    <xf numFmtId="0" fontId="0" fillId="0" borderId="1" xfId="0" applyBorder="1" applyAlignment="1">
      <alignment horizontal="center"/>
    </xf>
    <xf numFmtId="0" fontId="18" fillId="0" borderId="1" xfId="0" applyFont="1" applyBorder="1" applyAlignment="1">
      <alignment horizontal="center" vertical="center" wrapText="1"/>
    </xf>
    <xf numFmtId="0" fontId="20" fillId="0" borderId="1" xfId="0" applyFont="1" applyBorder="1" applyAlignment="1">
      <alignment horizontal="center" vertical="center"/>
    </xf>
    <xf numFmtId="0" fontId="17" fillId="17" borderId="0" xfId="0" applyFont="1" applyFill="1" applyAlignment="1">
      <alignment horizontal="center" vertical="center"/>
    </xf>
    <xf numFmtId="0" fontId="0" fillId="0" borderId="0" xfId="0" applyAlignment="1">
      <alignment horizontal="center" vertical="center"/>
    </xf>
    <xf numFmtId="0" fontId="2" fillId="20" borderId="0" xfId="0" applyFont="1" applyFill="1" applyAlignment="1">
      <alignment horizontal="center"/>
    </xf>
  </cellXfs>
  <cellStyles count="11">
    <cellStyle name="Action Title" xfId="3" xr:uid="{FC08CBB9-19F2-4318-BCEB-C70370853559}"/>
    <cellStyle name="Milliers" xfId="1" builtinId="3"/>
    <cellStyle name="Milliers 2" xfId="10" xr:uid="{3BBDBA20-9EB4-4208-96A0-FE049FA6AF1A}"/>
    <cellStyle name="Milliers 3" xfId="6" xr:uid="{F4DE8ABD-A876-4C5E-ACAF-42AF2DB68F75}"/>
    <cellStyle name="Normal" xfId="0" builtinId="0"/>
    <cellStyle name="Normal 2" xfId="8" xr:uid="{E5B2DD9D-0F25-4A37-B184-15E9E6A4B7EA}"/>
    <cellStyle name="Normal 3" xfId="5" xr:uid="{4D7970B0-F845-414B-81D3-C1A6517D1CD4}"/>
    <cellStyle name="Pourcentage" xfId="2" builtinId="5"/>
    <cellStyle name="Pourcentage 2" xfId="9" xr:uid="{C4907A22-5D98-46AD-9B8F-F42C89C8A8E0}"/>
    <cellStyle name="Pourcentage 3" xfId="7" xr:uid="{226C1CCD-52B9-432C-B131-AA635360748E}"/>
    <cellStyle name="Subtitle" xfId="4" xr:uid="{826A9B5C-2461-4556-B153-B51B40B148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304800</xdr:colOff>
      <xdr:row>16</xdr:row>
      <xdr:rowOff>152581</xdr:rowOff>
    </xdr:from>
    <xdr:to>
      <xdr:col>14</xdr:col>
      <xdr:colOff>76200</xdr:colOff>
      <xdr:row>29</xdr:row>
      <xdr:rowOff>142021</xdr:rowOff>
    </xdr:to>
    <xdr:pic>
      <xdr:nvPicPr>
        <xdr:cNvPr id="2" name="Image 1">
          <a:extLst>
            <a:ext uri="{FF2B5EF4-FFF2-40B4-BE49-F238E27FC236}">
              <a16:creationId xmlns:a16="http://schemas.microsoft.com/office/drawing/2014/main" id="{8D969BBF-BF28-B5F9-A2D1-FEBD3C6B2D9B}"/>
            </a:ext>
          </a:extLst>
        </xdr:cNvPr>
        <xdr:cNvPicPr>
          <a:picLocks noChangeAspect="1"/>
        </xdr:cNvPicPr>
      </xdr:nvPicPr>
      <xdr:blipFill>
        <a:blip xmlns:r="http://schemas.openxmlformats.org/officeDocument/2006/relationships" r:embed="rId1"/>
        <a:stretch>
          <a:fillRect/>
        </a:stretch>
      </xdr:blipFill>
      <xdr:spPr>
        <a:xfrm>
          <a:off x="6096000" y="3429181"/>
          <a:ext cx="7496175" cy="234211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35844-8D4F-42EF-B649-09C0F7DFDFEE}">
  <dimension ref="A1:R7"/>
  <sheetViews>
    <sheetView zoomScaleNormal="100" workbookViewId="0">
      <selection activeCell="V7" sqref="V7"/>
    </sheetView>
  </sheetViews>
  <sheetFormatPr baseColWidth="10" defaultRowHeight="15"/>
  <sheetData>
    <row r="1" spans="1:18">
      <c r="A1" s="258" t="s">
        <v>1541</v>
      </c>
      <c r="B1" s="259"/>
      <c r="C1" s="259"/>
      <c r="D1" s="259"/>
      <c r="E1" s="259"/>
    </row>
    <row r="3" spans="1:18" ht="50.1" customHeight="1">
      <c r="A3" s="257" t="s">
        <v>1540</v>
      </c>
      <c r="B3" s="257"/>
      <c r="C3" s="257"/>
      <c r="D3" s="257"/>
      <c r="E3" s="257"/>
      <c r="F3" s="257"/>
      <c r="G3" s="257"/>
      <c r="H3" s="257"/>
      <c r="I3" s="257"/>
      <c r="J3" s="257"/>
      <c r="K3" s="257"/>
      <c r="L3" s="257"/>
      <c r="N3" s="2"/>
    </row>
    <row r="5" spans="1:18" ht="45" customHeight="1">
      <c r="A5" s="256" t="s">
        <v>1542</v>
      </c>
      <c r="B5" s="256"/>
      <c r="C5" s="256"/>
      <c r="D5" s="256"/>
      <c r="E5" s="256"/>
      <c r="F5" s="256"/>
      <c r="G5" s="256"/>
      <c r="H5" s="256"/>
      <c r="I5" s="256"/>
      <c r="J5" s="256"/>
      <c r="K5" s="256"/>
      <c r="L5" s="256"/>
    </row>
    <row r="7" spans="1:18" ht="320.10000000000002" customHeight="1">
      <c r="A7" s="257" t="s">
        <v>1570</v>
      </c>
      <c r="B7" s="257"/>
      <c r="C7" s="257"/>
      <c r="D7" s="257"/>
      <c r="E7" s="257"/>
      <c r="F7" s="257"/>
      <c r="G7" s="257"/>
      <c r="H7" s="257"/>
      <c r="I7" s="257"/>
      <c r="J7" s="257"/>
      <c r="K7" s="257"/>
      <c r="L7" s="257"/>
      <c r="M7" s="257"/>
      <c r="N7" s="257"/>
      <c r="O7" s="257"/>
      <c r="P7" s="257"/>
      <c r="Q7" s="257"/>
      <c r="R7" s="257"/>
    </row>
  </sheetData>
  <mergeCells count="4">
    <mergeCell ref="A5:L5"/>
    <mergeCell ref="A3:L3"/>
    <mergeCell ref="A7:R7"/>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7CF6-0543-4F4A-A89D-4FFBA49CCEB8}">
  <sheetPr>
    <pageSetUpPr fitToPage="1"/>
  </sheetPr>
  <dimension ref="A2:O109"/>
  <sheetViews>
    <sheetView view="pageBreakPreview" topLeftCell="A12" zoomScale="85" zoomScaleNormal="85" zoomScaleSheetLayoutView="85" workbookViewId="0">
      <selection activeCell="K36" sqref="K36"/>
    </sheetView>
  </sheetViews>
  <sheetFormatPr baseColWidth="10" defaultRowHeight="15"/>
  <cols>
    <col min="1" max="1" width="24" customWidth="1"/>
    <col min="2" max="2" width="17.28515625" customWidth="1"/>
    <col min="5" max="5" width="23.42578125" customWidth="1"/>
    <col min="6" max="6" width="14.85546875" customWidth="1"/>
    <col min="9" max="9" width="25.140625" customWidth="1"/>
    <col min="10" max="10" width="14" customWidth="1"/>
    <col min="13" max="13" width="23.42578125" customWidth="1"/>
  </cols>
  <sheetData>
    <row r="2" spans="1:14" ht="15.75">
      <c r="A2" s="261" t="s">
        <v>1569</v>
      </c>
      <c r="B2" s="261"/>
      <c r="C2" s="261"/>
      <c r="D2" s="261"/>
      <c r="E2" s="261"/>
      <c r="F2" s="261"/>
      <c r="G2" s="261"/>
      <c r="H2" s="261"/>
      <c r="I2" s="261"/>
      <c r="J2" s="261"/>
      <c r="K2" s="261"/>
      <c r="L2" s="261"/>
      <c r="M2" s="261"/>
      <c r="N2" s="261"/>
    </row>
    <row r="3" spans="1:14">
      <c r="A3" s="59"/>
      <c r="B3" s="18"/>
      <c r="C3" s="18"/>
    </row>
    <row r="4" spans="1:14">
      <c r="E4" s="265" t="s">
        <v>311</v>
      </c>
      <c r="F4" s="81" t="s">
        <v>312</v>
      </c>
      <c r="G4" s="82">
        <v>0.9</v>
      </c>
      <c r="H4" s="92" t="s">
        <v>314</v>
      </c>
      <c r="I4" s="82">
        <v>0.9</v>
      </c>
    </row>
    <row r="5" spans="1:14">
      <c r="A5" s="59"/>
      <c r="B5" s="64"/>
      <c r="C5" s="18"/>
      <c r="E5" s="265"/>
      <c r="F5" s="81" t="s">
        <v>313</v>
      </c>
      <c r="G5" s="82">
        <v>0.95</v>
      </c>
      <c r="H5" s="92" t="s">
        <v>315</v>
      </c>
      <c r="I5" s="82">
        <v>0.95</v>
      </c>
      <c r="K5" s="64"/>
    </row>
    <row r="6" spans="1:14">
      <c r="A6" s="59"/>
      <c r="B6" s="64"/>
      <c r="C6" s="18"/>
      <c r="F6" s="65"/>
      <c r="J6" s="65"/>
      <c r="M6" s="266" t="s">
        <v>1546</v>
      </c>
      <c r="N6" s="266"/>
    </row>
    <row r="7" spans="1:14" ht="15" customHeight="1">
      <c r="A7" s="59"/>
      <c r="B7" s="64" t="s">
        <v>217</v>
      </c>
      <c r="C7" s="18"/>
      <c r="F7" s="65" t="s">
        <v>296</v>
      </c>
      <c r="J7" s="65" t="s">
        <v>297</v>
      </c>
      <c r="M7" s="266"/>
      <c r="N7" s="266"/>
    </row>
    <row r="8" spans="1:14">
      <c r="M8" s="267"/>
      <c r="N8" s="267"/>
    </row>
    <row r="9" spans="1:14">
      <c r="A9" s="5" t="s">
        <v>209</v>
      </c>
      <c r="B9" s="5" t="s">
        <v>225</v>
      </c>
      <c r="C9" s="5" t="s">
        <v>26</v>
      </c>
      <c r="E9" s="5" t="s">
        <v>209</v>
      </c>
      <c r="F9" s="74" t="s">
        <v>225</v>
      </c>
      <c r="G9" s="5" t="s">
        <v>26</v>
      </c>
      <c r="I9" s="5" t="s">
        <v>209</v>
      </c>
      <c r="J9" s="5" t="s">
        <v>225</v>
      </c>
      <c r="K9" s="5" t="s">
        <v>26</v>
      </c>
      <c r="M9" s="6" t="s">
        <v>209</v>
      </c>
      <c r="N9" s="6" t="s">
        <v>26</v>
      </c>
    </row>
    <row r="10" spans="1:14">
      <c r="A10" s="6" t="s">
        <v>210</v>
      </c>
      <c r="B10" s="6" t="s">
        <v>30</v>
      </c>
      <c r="C10" s="9" cm="1">
        <f t="array" ref="C10">SUM(IF((ISNUMBER(basev2!$AH$5:$AH$174))*(basev2!$B$5:$B$174="Privé"), basev2!$G$5:$G$174))</f>
        <v>1765431</v>
      </c>
      <c r="E10" s="6" t="s">
        <v>210</v>
      </c>
      <c r="F10" s="6" t="s">
        <v>30</v>
      </c>
      <c r="G10" s="9">
        <f>basev2!G177-((basev2!AF177-basev2!AJ177)*365)</f>
        <v>1762511</v>
      </c>
      <c r="I10" s="6" t="s">
        <v>210</v>
      </c>
      <c r="J10" s="68" t="s">
        <v>30</v>
      </c>
      <c r="K10" s="9">
        <f>C10-G10</f>
        <v>2920</v>
      </c>
      <c r="M10" s="6" t="s">
        <v>210</v>
      </c>
      <c r="N10" s="9"/>
    </row>
    <row r="11" spans="1:14">
      <c r="A11" s="7"/>
      <c r="B11" s="7" t="s">
        <v>34</v>
      </c>
      <c r="C11" s="10" cm="1">
        <f t="array" ref="C11">SUM(IF((ISNUMBER(basev2!AH5:AH174))*(basev2!B5:B174="Privé non lucratif"), basev2!G5:G174))</f>
        <v>603289</v>
      </c>
      <c r="E11" s="7"/>
      <c r="F11" s="7" t="s">
        <v>34</v>
      </c>
      <c r="G11" s="10">
        <f>basev2!G176-((basev2!AF176-basev2!AJ176)*365)</f>
        <v>562864</v>
      </c>
      <c r="I11" s="7"/>
      <c r="J11" s="56" t="s">
        <v>34</v>
      </c>
      <c r="K11" s="10">
        <f t="shared" ref="K11:K12" si="0">C11-G11</f>
        <v>40425</v>
      </c>
      <c r="M11" s="230"/>
      <c r="N11" s="10">
        <f>'sans dotpédia'!G9</f>
        <v>47508</v>
      </c>
    </row>
    <row r="12" spans="1:14">
      <c r="A12" s="7"/>
      <c r="B12" s="7" t="s">
        <v>23</v>
      </c>
      <c r="C12" s="10" cm="1">
        <f t="array" ref="C12">SUM(IF((ISNUMBER(basev2!AH5:AH174))*(basev2!B5:B174="Public"), basev2!G5:G174))</f>
        <v>948916</v>
      </c>
      <c r="E12" s="7"/>
      <c r="F12" s="7" t="s">
        <v>23</v>
      </c>
      <c r="G12" s="10">
        <f>basev2!G175-((basev2!AF175-basev2!AJ175)*365)</f>
        <v>948916</v>
      </c>
      <c r="I12" s="7"/>
      <c r="J12" s="56" t="s">
        <v>23</v>
      </c>
      <c r="K12" s="10">
        <f t="shared" si="0"/>
        <v>0</v>
      </c>
      <c r="M12" s="230"/>
      <c r="N12" s="10"/>
    </row>
    <row r="13" spans="1:14">
      <c r="A13" s="52"/>
      <c r="B13" s="52" t="s">
        <v>217</v>
      </c>
      <c r="C13" s="70">
        <f>C10 + C11 + C12</f>
        <v>3317636</v>
      </c>
      <c r="E13" s="52"/>
      <c r="F13" s="52" t="s">
        <v>217</v>
      </c>
      <c r="G13" s="70">
        <f>basev2!G174-((basev2!AF174-basev2!AJ174)*365)</f>
        <v>3274291</v>
      </c>
      <c r="I13" s="52"/>
      <c r="J13" s="235" t="s">
        <v>217</v>
      </c>
      <c r="K13" s="70">
        <f>K10 + K11 + K12</f>
        <v>43345</v>
      </c>
      <c r="M13" s="230"/>
      <c r="N13" s="70"/>
    </row>
    <row r="14" spans="1:14">
      <c r="A14" s="7" t="s">
        <v>211</v>
      </c>
      <c r="B14" s="7" t="s">
        <v>30</v>
      </c>
      <c r="C14" s="10" cm="1">
        <f t="array" ref="C14">SUM(IF((ISNUMBER(basev2!AH5:AH174))*(basev2!B5:B174="Privé"), basev2!H5:H174))</f>
        <v>336152</v>
      </c>
      <c r="E14" s="7" t="s">
        <v>211</v>
      </c>
      <c r="F14" s="7" t="s">
        <v>30</v>
      </c>
      <c r="G14" s="10">
        <f>basev2!H177-((basev2!AG177-basev2!AK177)*365)</f>
        <v>332502</v>
      </c>
      <c r="I14" s="7" t="s">
        <v>211</v>
      </c>
      <c r="J14" s="7" t="s">
        <v>30</v>
      </c>
      <c r="K14" s="10">
        <f>C14-G14</f>
        <v>3650</v>
      </c>
      <c r="M14" s="6" t="s">
        <v>211</v>
      </c>
      <c r="N14" s="10"/>
    </row>
    <row r="15" spans="1:14">
      <c r="A15" s="7"/>
      <c r="B15" s="7" t="s">
        <v>34</v>
      </c>
      <c r="C15" s="10" cm="1">
        <f t="array" ref="C15">SUM(IF((ISNUMBER(basev2!AH5:AH174))*(basev2!B5:B174="Privé non lucratif"), basev2!H5:H174))</f>
        <v>109949</v>
      </c>
      <c r="E15" s="7"/>
      <c r="F15" s="7" t="s">
        <v>34</v>
      </c>
      <c r="G15" s="10">
        <f>basev2!H176-((basev2!AG176-basev2!AK176)*365)</f>
        <v>71546.95</v>
      </c>
      <c r="I15" s="7"/>
      <c r="J15" s="7" t="s">
        <v>34</v>
      </c>
      <c r="K15" s="10">
        <f t="shared" ref="K15:K16" si="1">C15-G15</f>
        <v>38402.050000000003</v>
      </c>
      <c r="M15" s="230"/>
      <c r="N15" s="10">
        <f>'sans dotpédia'!H9</f>
        <v>7413</v>
      </c>
    </row>
    <row r="16" spans="1:14">
      <c r="A16" s="7"/>
      <c r="B16" s="7" t="s">
        <v>23</v>
      </c>
      <c r="C16" s="10" cm="1">
        <f t="array" ref="C16">SUM(IF((ISNUMBER(basev2!AH5:AH174))*(basev2!B5:B174="Public"), basev2!H5:H174))</f>
        <v>96141</v>
      </c>
      <c r="E16" s="7"/>
      <c r="F16" s="7" t="s">
        <v>23</v>
      </c>
      <c r="G16" s="10">
        <f>basev2!H175-((basev2!AG175-basev2!AK175)*365)</f>
        <v>93221</v>
      </c>
      <c r="I16" s="7"/>
      <c r="J16" s="7" t="s">
        <v>23</v>
      </c>
      <c r="K16" s="10">
        <f t="shared" si="1"/>
        <v>2920</v>
      </c>
      <c r="M16" s="230"/>
      <c r="N16" s="10"/>
    </row>
    <row r="17" spans="1:14">
      <c r="A17" s="52"/>
      <c r="B17" s="52" t="s">
        <v>217</v>
      </c>
      <c r="C17" s="70">
        <f>C14 + C15 + C16</f>
        <v>542242</v>
      </c>
      <c r="E17" s="52"/>
      <c r="F17" s="52" t="s">
        <v>217</v>
      </c>
      <c r="G17" s="70">
        <f>G14 + G15 + G16</f>
        <v>497269.95</v>
      </c>
      <c r="I17" s="52"/>
      <c r="J17" s="52" t="s">
        <v>217</v>
      </c>
      <c r="K17" s="70">
        <f>K14 + K15 + K16</f>
        <v>44972.05</v>
      </c>
      <c r="M17" s="230"/>
      <c r="N17" s="70"/>
    </row>
    <row r="18" spans="1:14">
      <c r="A18" s="7" t="s">
        <v>212</v>
      </c>
      <c r="B18" s="7" t="s">
        <v>30</v>
      </c>
      <c r="C18" s="10" cm="1">
        <f t="array" ref="C18">SUM(IF((ISNUMBER(basev2!AH5:AH174))*(basev2!B5:B174="Privé"), basev2!P5:P174))</f>
        <v>5455</v>
      </c>
      <c r="E18" s="6" t="s">
        <v>212</v>
      </c>
      <c r="F18" s="6" t="s">
        <v>30</v>
      </c>
      <c r="G18" s="10" cm="1">
        <f t="array" ref="G18">SUM(IF((ISNUMBER(basev2!W5:W174))*(basev2!B5:B174="Privé"), basev2!W5:W174))</f>
        <v>5447</v>
      </c>
      <c r="I18" s="6" t="s">
        <v>212</v>
      </c>
      <c r="J18" s="6" t="s">
        <v>30</v>
      </c>
      <c r="K18" s="9" cm="1">
        <f t="array" ref="K18">SUM(IF((ISNUMBER(basev2!AF5:AF174))*(basev2!B5:B174="Privé"), basev2!AF5:AF174))</f>
        <v>8</v>
      </c>
      <c r="M18" s="6" t="s">
        <v>212</v>
      </c>
      <c r="N18" s="9"/>
    </row>
    <row r="19" spans="1:14">
      <c r="A19" s="7"/>
      <c r="B19" s="7" t="s">
        <v>34</v>
      </c>
      <c r="C19" s="10" cm="1">
        <f t="array" ref="C19">SUM(IF((ISNUMBER(basev2!AH5:AH174))*(basev2!B5:B174="Privé non lucratif"), basev2!P5:P174))</f>
        <v>2158</v>
      </c>
      <c r="E19" s="7"/>
      <c r="F19" s="7" t="s">
        <v>34</v>
      </c>
      <c r="G19" s="10" cm="1">
        <f t="array" ref="G19">SUM(IF((ISNUMBER(basev2!W5:W174))*(basev2!B5:B174="Privé non lucratif"), basev2!W5:W174))</f>
        <v>1949</v>
      </c>
      <c r="I19" s="7"/>
      <c r="J19" s="7" t="s">
        <v>34</v>
      </c>
      <c r="K19" s="10" cm="1">
        <f t="array" ref="K19">SUM(IF((ISNUMBER(basev2!AF5:AF174))*(basev2!B5:B174="Privé non lucratif"), basev2!AF5:AF174))</f>
        <v>209</v>
      </c>
      <c r="M19" s="231"/>
      <c r="N19" s="10">
        <f>'sans dotpédia'!P9</f>
        <v>304</v>
      </c>
    </row>
    <row r="20" spans="1:14">
      <c r="A20" s="7"/>
      <c r="B20" s="7" t="s">
        <v>23</v>
      </c>
      <c r="C20" s="10" cm="1">
        <f t="array" ref="C20">SUM(IF((ISNUMBER(basev2!AH5:AH174))*(basev2!B5:B174="Public"), basev2!P5:P174))</f>
        <v>3238</v>
      </c>
      <c r="E20" s="7"/>
      <c r="F20" s="7" t="s">
        <v>23</v>
      </c>
      <c r="G20" s="10" cm="1">
        <f t="array" ref="G20">SUM(IF((ISNUMBER(basev2!W5:W174))*(basev2!B5:B174="Public"), basev2!W5:W174))</f>
        <v>3238</v>
      </c>
      <c r="I20" s="7"/>
      <c r="J20" s="7" t="s">
        <v>23</v>
      </c>
      <c r="K20" s="10" cm="1">
        <f t="array" ref="K20">SUM(IF((ISNUMBER(basev2!AF5:AF174))*(basev2!B5:B174="Public"), basev2!AF5:AF174))</f>
        <v>0</v>
      </c>
      <c r="M20" s="231"/>
      <c r="N20" s="10"/>
    </row>
    <row r="21" spans="1:14">
      <c r="A21" s="52"/>
      <c r="B21" s="52" t="s">
        <v>217</v>
      </c>
      <c r="C21" s="70">
        <f>C18+C19+C20</f>
        <v>10851</v>
      </c>
      <c r="E21" s="52"/>
      <c r="F21" s="52" t="s">
        <v>217</v>
      </c>
      <c r="G21" s="70">
        <f>G18+G19+G20</f>
        <v>10634</v>
      </c>
      <c r="I21" s="52"/>
      <c r="J21" s="52" t="s">
        <v>217</v>
      </c>
      <c r="K21" s="70">
        <f>K18+K19+K20</f>
        <v>217</v>
      </c>
      <c r="M21" s="231"/>
      <c r="N21" s="70"/>
    </row>
    <row r="22" spans="1:14">
      <c r="A22" s="7" t="s">
        <v>213</v>
      </c>
      <c r="B22" s="7" t="s">
        <v>30</v>
      </c>
      <c r="C22" s="10" cm="1">
        <f t="array" ref="C22">SUM(IF((ISNUMBER(basev2!AH5:AH174))*(basev2!B5:B174="Privé"), basev2!Q5:Q174))</f>
        <v>1188</v>
      </c>
      <c r="E22" s="7" t="s">
        <v>213</v>
      </c>
      <c r="F22" s="7" t="s">
        <v>30</v>
      </c>
      <c r="G22" s="10" cm="1">
        <f t="array" ref="G22">SUM(IF((ISNUMBER(basev2!X5:X174))*(basev2!B5:B174="Privé"), basev2!X5:X174))</f>
        <v>1178</v>
      </c>
      <c r="I22" s="7" t="s">
        <v>213</v>
      </c>
      <c r="J22" s="7" t="s">
        <v>30</v>
      </c>
      <c r="K22" s="10" cm="1">
        <f t="array" ref="K22">SUM(IF((ISNUMBER(basev2!AG5:AG174))*(basev2!B5:B174="Privé"), basev2!AG5:AG174))</f>
        <v>10</v>
      </c>
      <c r="M22" s="6" t="s">
        <v>213</v>
      </c>
      <c r="N22" s="10"/>
    </row>
    <row r="23" spans="1:14">
      <c r="A23" s="7"/>
      <c r="B23" s="7" t="s">
        <v>34</v>
      </c>
      <c r="C23" s="10" cm="1">
        <f t="array" ref="C23">SUM(IF((ISNUMBER(basev2!AH5:AH174))*(basev2!B5:B174="Privé non lucratif"), basev2!Q5:Q174))</f>
        <v>454</v>
      </c>
      <c r="E23" s="7"/>
      <c r="F23" s="7" t="s">
        <v>34</v>
      </c>
      <c r="G23" s="10" cm="1">
        <f t="array" ref="G23">SUM(IF((ISNUMBER(basev2!X5:X174))*(basev2!B5:B174="Privé non lucratif"), basev2!X5:X174))</f>
        <v>287</v>
      </c>
      <c r="I23" s="7"/>
      <c r="J23" s="7" t="s">
        <v>34</v>
      </c>
      <c r="K23" s="10" cm="1">
        <f t="array" ref="K23">SUM(IF((ISNUMBER(basev2!AG5:AG174))*(basev2!B5:B174="Privé non lucratif"), basev2!AG5:AG174))</f>
        <v>167</v>
      </c>
      <c r="M23" s="231"/>
      <c r="N23" s="10">
        <f>'sans dotpédia'!Q9</f>
        <v>42</v>
      </c>
    </row>
    <row r="24" spans="1:14">
      <c r="A24" s="7"/>
      <c r="B24" s="7" t="s">
        <v>23</v>
      </c>
      <c r="C24" s="10" cm="1">
        <f t="array" ref="C24">SUM(IF((ISNUMBER(basev2!AH5:AH174))*(basev2!B5:B174="Public"), basev2!Q5:Q174))</f>
        <v>347</v>
      </c>
      <c r="E24" s="7"/>
      <c r="F24" s="7" t="s">
        <v>23</v>
      </c>
      <c r="G24" s="10" cm="1">
        <f t="array" ref="G24">SUM(IF((ISNUMBER(basev2!X5:X174))*(basev2!B5:B174="Public"), basev2!X5:X174))</f>
        <v>339</v>
      </c>
      <c r="I24" s="7"/>
      <c r="J24" s="7" t="s">
        <v>23</v>
      </c>
      <c r="K24" s="10" cm="1">
        <f t="array" ref="K24">SUM(IF((ISNUMBER(basev2!AG5:AG174))*(basev2!B5:B174="Public"), basev2!AG5:AG174))</f>
        <v>8</v>
      </c>
      <c r="M24" s="231"/>
      <c r="N24" s="10"/>
    </row>
    <row r="25" spans="1:14">
      <c r="A25" s="52"/>
      <c r="B25" s="52" t="s">
        <v>217</v>
      </c>
      <c r="C25" s="70">
        <f>C22+C23+C24</f>
        <v>1989</v>
      </c>
      <c r="E25" s="52"/>
      <c r="F25" s="52" t="s">
        <v>217</v>
      </c>
      <c r="G25" s="70">
        <f>G22+G23+G24</f>
        <v>1804</v>
      </c>
      <c r="I25" s="52"/>
      <c r="J25" s="52" t="s">
        <v>217</v>
      </c>
      <c r="K25" s="70">
        <f>K22+K23+K24</f>
        <v>185</v>
      </c>
      <c r="M25" s="231"/>
      <c r="N25" s="70"/>
    </row>
    <row r="26" spans="1:14">
      <c r="A26" s="7" t="s">
        <v>300</v>
      </c>
      <c r="B26" s="7" t="s">
        <v>30</v>
      </c>
      <c r="C26" s="11">
        <f>C10/C18/365</f>
        <v>0.88667227502730928</v>
      </c>
      <c r="E26" s="7" t="s">
        <v>300</v>
      </c>
      <c r="F26" s="7" t="s">
        <v>30</v>
      </c>
      <c r="G26" s="11">
        <f>G10/G18/365</f>
        <v>0.8865058307828112</v>
      </c>
      <c r="I26" s="7" t="s">
        <v>300</v>
      </c>
      <c r="J26" s="7" t="s">
        <v>30</v>
      </c>
      <c r="K26" s="11">
        <f>K10/K18/365</f>
        <v>1</v>
      </c>
      <c r="M26" s="6" t="s">
        <v>300</v>
      </c>
      <c r="N26" s="11"/>
    </row>
    <row r="27" spans="1:14">
      <c r="A27" s="7"/>
      <c r="B27" s="7" t="s">
        <v>34</v>
      </c>
      <c r="C27" s="11">
        <f>C11/C19/365</f>
        <v>0.7659159292597153</v>
      </c>
      <c r="E27" s="7"/>
      <c r="F27" s="7" t="s">
        <v>34</v>
      </c>
      <c r="G27" s="11">
        <f>G11/G19/365</f>
        <v>0.79122275561053435</v>
      </c>
      <c r="I27" s="7"/>
      <c r="J27" s="7" t="s">
        <v>34</v>
      </c>
      <c r="K27" s="11">
        <f>K11/K19/365</f>
        <v>0.52992069214131221</v>
      </c>
      <c r="M27" s="230"/>
      <c r="N27" s="11">
        <f>'sans dotpédia'!G9/('sans dotpédia'!P9*365)</f>
        <v>0.42815428983417447</v>
      </c>
    </row>
    <row r="28" spans="1:14">
      <c r="A28" s="7"/>
      <c r="B28" s="7" t="s">
        <v>23</v>
      </c>
      <c r="C28" s="11">
        <f>C12/C20/365</f>
        <v>0.80289371927538555</v>
      </c>
      <c r="E28" s="7"/>
      <c r="F28" s="7" t="s">
        <v>23</v>
      </c>
      <c r="G28" s="11">
        <f>G12/G20/365</f>
        <v>0.80289371927538555</v>
      </c>
      <c r="I28" s="7"/>
      <c r="J28" s="7" t="s">
        <v>23</v>
      </c>
      <c r="K28" s="11" t="e">
        <f>K12/K20/365</f>
        <v>#DIV/0!</v>
      </c>
      <c r="M28" s="230"/>
      <c r="N28" s="11"/>
    </row>
    <row r="29" spans="1:14">
      <c r="A29" s="6" t="s">
        <v>301</v>
      </c>
      <c r="B29" s="6" t="s">
        <v>30</v>
      </c>
      <c r="C29" s="12">
        <f>C14/C22/365</f>
        <v>0.77522254508555888</v>
      </c>
      <c r="E29" s="6" t="s">
        <v>301</v>
      </c>
      <c r="F29" s="6" t="s">
        <v>30</v>
      </c>
      <c r="G29" s="12">
        <f>G14/G22/365</f>
        <v>0.77331441728492678</v>
      </c>
      <c r="I29" s="6" t="s">
        <v>301</v>
      </c>
      <c r="J29" s="6" t="s">
        <v>30</v>
      </c>
      <c r="K29" s="12">
        <f>K14/K22/365</f>
        <v>1</v>
      </c>
      <c r="M29" s="6" t="s">
        <v>301</v>
      </c>
      <c r="N29" s="12"/>
    </row>
    <row r="30" spans="1:14">
      <c r="A30" s="15"/>
      <c r="B30" s="7" t="s">
        <v>34</v>
      </c>
      <c r="C30" s="11">
        <f>C15/C23/365</f>
        <v>0.66350250437511316</v>
      </c>
      <c r="E30" s="15"/>
      <c r="F30" s="7" t="s">
        <v>34</v>
      </c>
      <c r="G30" s="11">
        <f>G15/G23/365</f>
        <v>0.68299317455014075</v>
      </c>
      <c r="I30" s="15"/>
      <c r="J30" s="7" t="s">
        <v>34</v>
      </c>
      <c r="K30" s="11">
        <f>K15/K23/365</f>
        <v>0.63000656221802975</v>
      </c>
      <c r="M30" s="230"/>
      <c r="N30" s="11">
        <f>'sans dotpédia'!H9/('sans dotpédia'!Q9*365)</f>
        <v>0.48356164383561645</v>
      </c>
    </row>
    <row r="31" spans="1:14">
      <c r="A31" s="52"/>
      <c r="B31" s="52" t="s">
        <v>23</v>
      </c>
      <c r="C31" s="53">
        <f>C16/C24/365</f>
        <v>0.75907780979827078</v>
      </c>
      <c r="E31" s="52"/>
      <c r="F31" s="52" t="s">
        <v>23</v>
      </c>
      <c r="G31" s="53">
        <f>G16/G24/365</f>
        <v>0.75339233038348086</v>
      </c>
      <c r="I31" s="52"/>
      <c r="J31" s="52" t="s">
        <v>23</v>
      </c>
      <c r="K31" s="53">
        <f>K16/K24/365</f>
        <v>1</v>
      </c>
      <c r="M31" s="230"/>
      <c r="N31" s="53"/>
    </row>
    <row r="32" spans="1:14">
      <c r="A32" s="7" t="s">
        <v>214</v>
      </c>
      <c r="B32" s="7" t="s">
        <v>30</v>
      </c>
      <c r="C32" s="87">
        <f>basev2!U177</f>
        <v>271.72876712328764</v>
      </c>
      <c r="E32" s="7" t="s">
        <v>214</v>
      </c>
      <c r="F32" s="7" t="s">
        <v>30</v>
      </c>
      <c r="G32" s="87">
        <f>basev2!AA177</f>
        <v>271.72876712328764</v>
      </c>
      <c r="I32" s="7" t="s">
        <v>214</v>
      </c>
      <c r="J32" s="7" t="s">
        <v>30</v>
      </c>
      <c r="K32" s="87">
        <f>basev2!AJ177</f>
        <v>0</v>
      </c>
      <c r="M32" s="6" t="s">
        <v>214</v>
      </c>
      <c r="N32" s="236"/>
    </row>
    <row r="33" spans="1:14">
      <c r="A33" s="15"/>
      <c r="B33" s="7" t="s">
        <v>34</v>
      </c>
      <c r="C33" s="87">
        <f>basev2!U176</f>
        <v>306.42739726027401</v>
      </c>
      <c r="E33" s="7"/>
      <c r="F33" s="7" t="s">
        <v>34</v>
      </c>
      <c r="G33" s="87">
        <f>basev2!AA176</f>
        <v>208.1808219178082</v>
      </c>
      <c r="I33" s="56"/>
      <c r="J33" s="7" t="s">
        <v>34</v>
      </c>
      <c r="K33" s="90">
        <f>basev2!AJ176</f>
        <v>98.246575342465746</v>
      </c>
      <c r="M33" s="231"/>
      <c r="N33" s="237">
        <f>'sans dotpédia'!Z9</f>
        <v>164.37636986301374</v>
      </c>
    </row>
    <row r="34" spans="1:14">
      <c r="A34" s="7"/>
      <c r="B34" s="7" t="s">
        <v>23</v>
      </c>
      <c r="C34" s="87">
        <f>basev2!U175</f>
        <v>382.97671232876712</v>
      </c>
      <c r="E34" s="7"/>
      <c r="F34" s="7" t="s">
        <v>23</v>
      </c>
      <c r="G34" s="87">
        <f>basev2!AA175</f>
        <v>382.97671232876712</v>
      </c>
      <c r="I34" s="7"/>
      <c r="J34" s="7" t="s">
        <v>23</v>
      </c>
      <c r="K34" s="87">
        <f>basev2!AJ175</f>
        <v>0</v>
      </c>
      <c r="M34" s="231"/>
      <c r="N34" s="236"/>
    </row>
    <row r="35" spans="1:14">
      <c r="A35" s="7"/>
      <c r="B35" s="7" t="s">
        <v>217</v>
      </c>
      <c r="C35" s="87">
        <f>basev2!U174</f>
        <v>961.13287671232877</v>
      </c>
      <c r="E35" s="52"/>
      <c r="F35" s="52" t="s">
        <v>217</v>
      </c>
      <c r="G35" s="88">
        <f>G32 + G33 + G34</f>
        <v>862.88630136986296</v>
      </c>
      <c r="I35" s="7"/>
      <c r="J35" s="7" t="s">
        <v>217</v>
      </c>
      <c r="K35" s="87">
        <f>K32 + K33 + K34</f>
        <v>98.246575342465746</v>
      </c>
      <c r="M35" s="231"/>
      <c r="N35" s="236"/>
    </row>
    <row r="36" spans="1:14">
      <c r="A36" s="6" t="s">
        <v>21</v>
      </c>
      <c r="B36" s="6" t="s">
        <v>30</v>
      </c>
      <c r="C36" s="89">
        <f>basev2!V177</f>
        <v>394.95</v>
      </c>
      <c r="E36" s="7" t="s">
        <v>21</v>
      </c>
      <c r="F36" s="7" t="s">
        <v>30</v>
      </c>
      <c r="G36" s="87">
        <f>basev2!AB177</f>
        <v>394.95</v>
      </c>
      <c r="I36" s="6" t="s">
        <v>21</v>
      </c>
      <c r="J36" s="6" t="s">
        <v>30</v>
      </c>
      <c r="K36" s="89">
        <f>basev2!AK177</f>
        <v>0</v>
      </c>
      <c r="M36" s="6" t="s">
        <v>21</v>
      </c>
      <c r="N36" s="238"/>
    </row>
    <row r="37" spans="1:14">
      <c r="A37" s="15"/>
      <c r="B37" s="7" t="s">
        <v>34</v>
      </c>
      <c r="C37" s="87">
        <f>basev2!V176</f>
        <v>146.72515279241307</v>
      </c>
      <c r="E37" s="15"/>
      <c r="F37" s="7" t="s">
        <v>34</v>
      </c>
      <c r="G37" s="87">
        <f>basev2!AB176</f>
        <v>84.936248682824001</v>
      </c>
      <c r="I37" s="56"/>
      <c r="J37" s="7" t="s">
        <v>34</v>
      </c>
      <c r="K37" s="90">
        <f>basev2!AK176</f>
        <v>61.788904109589041</v>
      </c>
      <c r="M37" s="231"/>
      <c r="N37" s="237">
        <f>'sans dotpédia'!AA9</f>
        <v>17.458904109589039</v>
      </c>
    </row>
    <row r="38" spans="1:14">
      <c r="A38" s="54"/>
      <c r="B38" s="7" t="s">
        <v>23</v>
      </c>
      <c r="C38" s="90">
        <f>basev2!V175</f>
        <v>79.747260273972586</v>
      </c>
      <c r="E38" s="15"/>
      <c r="F38" s="7" t="s">
        <v>23</v>
      </c>
      <c r="G38" s="87">
        <f>basev2!AB175</f>
        <v>79.747260273972586</v>
      </c>
      <c r="I38" s="7"/>
      <c r="J38" s="7" t="s">
        <v>23</v>
      </c>
      <c r="K38" s="87">
        <f>basev2!AK175</f>
        <v>0</v>
      </c>
      <c r="M38" s="231"/>
      <c r="N38" s="236"/>
    </row>
    <row r="39" spans="1:14">
      <c r="A39" s="52"/>
      <c r="B39" s="52" t="s">
        <v>217</v>
      </c>
      <c r="C39" s="88">
        <f>C36 + C37 + C38</f>
        <v>621.42241306638562</v>
      </c>
      <c r="E39" s="52"/>
      <c r="F39" s="52" t="s">
        <v>217</v>
      </c>
      <c r="G39" s="88">
        <f>G36 + G37 + G38</f>
        <v>559.6335089567965</v>
      </c>
      <c r="I39" s="57"/>
      <c r="J39" s="52" t="s">
        <v>217</v>
      </c>
      <c r="K39" s="88">
        <f>K36 + K37 + K38</f>
        <v>61.788904109589041</v>
      </c>
      <c r="M39" s="231"/>
      <c r="N39" s="239"/>
    </row>
    <row r="40" spans="1:14">
      <c r="A40" s="7" t="s">
        <v>215</v>
      </c>
      <c r="B40" s="7" t="s">
        <v>30</v>
      </c>
      <c r="C40" s="13">
        <f>G40 + K40</f>
        <v>7206.938470928766</v>
      </c>
      <c r="E40" s="7" t="s">
        <v>215</v>
      </c>
      <c r="F40" s="7" t="s">
        <v>30</v>
      </c>
      <c r="G40" s="13" cm="1">
        <f t="array" ref="G40">SUM(IF((ISNUMBER(basev2!AH5:AH174))*(basev2!B5:B174="Privé"), basev2!AC5:AC174))</f>
        <v>7206.938470928766</v>
      </c>
      <c r="I40" s="7" t="s">
        <v>298</v>
      </c>
      <c r="J40" s="7" t="s">
        <v>30</v>
      </c>
      <c r="K40" s="13" cm="1">
        <f t="array" ref="K40">SUM(IF((ISNUMBER(basev2!AH5:AH174))*(basev2!B5:B174="Privé"), basev2!AN5:AN174))</f>
        <v>0</v>
      </c>
      <c r="M40" s="6" t="s">
        <v>298</v>
      </c>
      <c r="N40" s="13"/>
    </row>
    <row r="41" spans="1:14">
      <c r="A41" s="7"/>
      <c r="B41" s="7" t="s">
        <v>34</v>
      </c>
      <c r="C41" s="13">
        <f>G41+K41</f>
        <v>16675.295931436802</v>
      </c>
      <c r="E41" s="7"/>
      <c r="F41" s="7" t="s">
        <v>34</v>
      </c>
      <c r="G41" s="13" cm="1">
        <f t="array" ref="G41">SUM(IF((ISNUMBER(basev2!AH5:AH174))*(basev2!B5:B174="Privé non lucratif"), basev2!AC5:AC174))</f>
        <v>7699.4315478751569</v>
      </c>
      <c r="I41" s="56"/>
      <c r="J41" s="7" t="s">
        <v>34</v>
      </c>
      <c r="K41" s="55" cm="1">
        <f t="array" ref="K41">SUM(IF((ISNUMBER(basev2!AH5:AH174))*(basev2!B5:B174="Privé non lucratif"), basev2!AN5:AN174))</f>
        <v>8975.864383561644</v>
      </c>
      <c r="M41" s="230"/>
      <c r="N41" s="55">
        <f>'sans dotpédia'!AE9</f>
        <v>8199.7039073960659</v>
      </c>
    </row>
    <row r="42" spans="1:14">
      <c r="A42" s="7"/>
      <c r="B42" s="7" t="s">
        <v>23</v>
      </c>
      <c r="C42" s="13">
        <f>G42+K42</f>
        <v>16760.194295312318</v>
      </c>
      <c r="E42" s="7"/>
      <c r="F42" s="7" t="s">
        <v>23</v>
      </c>
      <c r="G42" s="13" cm="1">
        <f t="array" ref="G42">SUM(IF((ISNUMBER(basev2!AH5:AH174))*(basev2!B5:B174="Public"), basev2!AC5:AC174))</f>
        <v>16760.194295312318</v>
      </c>
      <c r="I42" s="7"/>
      <c r="J42" s="7" t="s">
        <v>23</v>
      </c>
      <c r="K42" s="13" cm="1">
        <f t="array" ref="K42">SUM(IF((ISNUMBER(basev2!AH5:AH174))*(basev2!B5:B174="Public"), basev2!AN5:AN174))</f>
        <v>0</v>
      </c>
      <c r="M42" s="230"/>
      <c r="N42" s="13"/>
    </row>
    <row r="43" spans="1:14">
      <c r="A43" s="7"/>
      <c r="B43" s="7" t="s">
        <v>217</v>
      </c>
      <c r="C43" s="13">
        <f>C40+C41+C42</f>
        <v>40642.428697677882</v>
      </c>
      <c r="E43" s="52"/>
      <c r="F43" s="52" t="s">
        <v>217</v>
      </c>
      <c r="G43" s="58">
        <f>G40 + G41 + G42</f>
        <v>31666.56431411624</v>
      </c>
      <c r="I43" s="7"/>
      <c r="J43" s="7" t="s">
        <v>217</v>
      </c>
      <c r="K43" s="13">
        <f>K40 + K41 + K42</f>
        <v>8975.864383561644</v>
      </c>
      <c r="M43" s="230"/>
      <c r="N43" s="13"/>
    </row>
    <row r="44" spans="1:14">
      <c r="A44" s="6" t="s">
        <v>216</v>
      </c>
      <c r="B44" s="6" t="s">
        <v>30</v>
      </c>
      <c r="C44" s="14">
        <f>G44+K44</f>
        <v>5237.5395863071562</v>
      </c>
      <c r="E44" s="7" t="s">
        <v>216</v>
      </c>
      <c r="F44" s="7" t="s">
        <v>30</v>
      </c>
      <c r="G44" s="13" cm="1">
        <f t="array" ref="G44">SUM(IF((ISNUMBER(basev2!AH5:AH174))*(basev2!B5:B174="Privé"), basev2!AD5:AD174))</f>
        <v>5237.5395863071562</v>
      </c>
      <c r="I44" s="68" t="s">
        <v>299</v>
      </c>
      <c r="J44" s="6" t="s">
        <v>30</v>
      </c>
      <c r="K44" s="69" cm="1">
        <f t="array" ref="K44">SUM(IF((ISNUMBER(basev2!AH5:AH174))*(basev2!B5:B174="Privé"), basev2!AO5:AO174))</f>
        <v>0</v>
      </c>
      <c r="M44" s="6" t="s">
        <v>299</v>
      </c>
      <c r="N44" s="69"/>
    </row>
    <row r="45" spans="1:14">
      <c r="A45" s="7"/>
      <c r="B45" s="7" t="s">
        <v>34</v>
      </c>
      <c r="C45" s="13">
        <f>G45+K45</f>
        <v>3765.5871058821904</v>
      </c>
      <c r="E45" s="7"/>
      <c r="F45" s="7" t="s">
        <v>34</v>
      </c>
      <c r="G45" s="13" cm="1">
        <f t="array" ref="G45">SUM(IF((ISNUMBER(basev2!AH5:AH174))*(basev2!B5:B174="Privé non lucratif"), basev2!AD5:AD174))</f>
        <v>1570.6558045123272</v>
      </c>
      <c r="I45" s="7"/>
      <c r="J45" s="7" t="s">
        <v>34</v>
      </c>
      <c r="K45" s="13" cm="1">
        <f t="array" ref="K45">SUM(IF((ISNUMBER(basev2!AH5:AH174))*(basev2!B5:B174="Privé non lucratif"), basev2!AO5:AO174))</f>
        <v>2194.9313013698629</v>
      </c>
      <c r="M45" s="230"/>
      <c r="N45" s="13">
        <f>'sans dotpédia'!AF9</f>
        <v>697.78516768497627</v>
      </c>
    </row>
    <row r="46" spans="1:14">
      <c r="A46" s="56"/>
      <c r="B46" s="7" t="s">
        <v>23</v>
      </c>
      <c r="C46" s="55">
        <f>G46+K46</f>
        <v>1744.9880549959296</v>
      </c>
      <c r="E46" s="56"/>
      <c r="F46" s="7" t="s">
        <v>23</v>
      </c>
      <c r="G46" s="55" cm="1">
        <f t="array" ref="G46">SUM(IF((ISNUMBER(basev2!AH5:AH174))*(basev2!B5:B174="Public"), basev2!AD5:AD174))</f>
        <v>1744.9880549959296</v>
      </c>
      <c r="I46" s="7"/>
      <c r="J46" s="7" t="s">
        <v>23</v>
      </c>
      <c r="K46" s="13" cm="1">
        <f t="array" ref="K46">SUM(IF((ISNUMBER(basev2!AH5:AH174))*(basev2!B5:B174="Public"), basev2!AO5:AO174))</f>
        <v>0</v>
      </c>
      <c r="M46" s="230"/>
      <c r="N46" s="13"/>
    </row>
    <row r="47" spans="1:14">
      <c r="A47" s="52"/>
      <c r="B47" s="52" t="s">
        <v>217</v>
      </c>
      <c r="C47" s="58">
        <f>C44 + C45 + C46</f>
        <v>10748.114747185276</v>
      </c>
      <c r="E47" s="7"/>
      <c r="F47" s="52" t="s">
        <v>217</v>
      </c>
      <c r="G47" s="58">
        <f>G44 + G45 + G46</f>
        <v>8553.1834458154135</v>
      </c>
      <c r="I47" s="52"/>
      <c r="J47" s="52" t="s">
        <v>217</v>
      </c>
      <c r="K47" s="70">
        <f>K44 + K45 + K46</f>
        <v>2194.9313013698629</v>
      </c>
      <c r="M47" s="230"/>
      <c r="N47" s="70"/>
    </row>
    <row r="48" spans="1:14">
      <c r="A48" s="6" t="s">
        <v>1547</v>
      </c>
      <c r="B48" s="6" t="s">
        <v>30</v>
      </c>
      <c r="C48" s="60">
        <f>C40+C44</f>
        <v>12444.478057235923</v>
      </c>
      <c r="E48" s="6" t="s">
        <v>1547</v>
      </c>
      <c r="F48" s="6" t="s">
        <v>30</v>
      </c>
      <c r="G48" s="71">
        <f>G40 + G44</f>
        <v>12444.478057235923</v>
      </c>
      <c r="I48" s="6" t="s">
        <v>1547</v>
      </c>
      <c r="J48" s="6" t="s">
        <v>30</v>
      </c>
      <c r="K48" s="60">
        <f>K40 + K44</f>
        <v>0</v>
      </c>
      <c r="M48" s="6" t="s">
        <v>1547</v>
      </c>
      <c r="N48" s="60"/>
    </row>
    <row r="49" spans="1:15">
      <c r="A49" s="8"/>
      <c r="B49" s="7" t="s">
        <v>34</v>
      </c>
      <c r="C49" s="61">
        <f>C41+C45</f>
        <v>20440.883037318992</v>
      </c>
      <c r="E49" s="8"/>
      <c r="F49" s="7" t="s">
        <v>34</v>
      </c>
      <c r="G49" s="60">
        <f>G41 + G45</f>
        <v>9270.0873523874834</v>
      </c>
      <c r="I49" s="8"/>
      <c r="J49" s="7" t="s">
        <v>34</v>
      </c>
      <c r="K49" s="61">
        <f>K41 + K45</f>
        <v>11170.795684931507</v>
      </c>
      <c r="M49" s="230"/>
      <c r="N49" s="61">
        <f>'sans dotpédia'!AG9</f>
        <v>8897.4890750810428</v>
      </c>
    </row>
    <row r="50" spans="1:15">
      <c r="A50" s="8"/>
      <c r="B50" s="7" t="s">
        <v>23</v>
      </c>
      <c r="C50" s="60">
        <f>C42+C46</f>
        <v>18505.182350308249</v>
      </c>
      <c r="E50" s="8"/>
      <c r="F50" s="7" t="s">
        <v>23</v>
      </c>
      <c r="G50" s="72">
        <f>G42 + G46</f>
        <v>18505.182350308249</v>
      </c>
      <c r="I50" s="8"/>
      <c r="J50" s="7" t="s">
        <v>23</v>
      </c>
      <c r="K50" s="60">
        <f>K42 + K46</f>
        <v>0</v>
      </c>
      <c r="M50" s="230"/>
      <c r="N50" s="60"/>
    </row>
    <row r="51" spans="1:15">
      <c r="A51" s="16"/>
      <c r="B51" s="52" t="s">
        <v>295</v>
      </c>
      <c r="C51" s="17">
        <f>C48+C49+C50</f>
        <v>51390.543444863164</v>
      </c>
      <c r="E51" s="67"/>
      <c r="F51" s="52" t="s">
        <v>295</v>
      </c>
      <c r="G51" s="73">
        <f>G48 + G49 + G50</f>
        <v>40219.747759931655</v>
      </c>
      <c r="I51" s="16"/>
      <c r="J51" s="52" t="s">
        <v>295</v>
      </c>
      <c r="K51" s="17">
        <f>K48 + K49 + K50</f>
        <v>11170.795684931507</v>
      </c>
      <c r="L51" s="66"/>
      <c r="M51" s="67"/>
      <c r="N51" s="17"/>
    </row>
    <row r="52" spans="1:15">
      <c r="A52" s="2"/>
      <c r="B52" s="2"/>
      <c r="C52" s="2"/>
    </row>
    <row r="53" spans="1:15">
      <c r="A53" s="2" t="s">
        <v>218</v>
      </c>
      <c r="B53" s="2"/>
      <c r="C53" s="3">
        <v>386602</v>
      </c>
    </row>
    <row r="54" spans="1:15">
      <c r="A54" s="2" t="s">
        <v>219</v>
      </c>
      <c r="B54" s="2" t="s">
        <v>217</v>
      </c>
      <c r="C54" s="3">
        <f>C53-C51</f>
        <v>335211.45655513683</v>
      </c>
    </row>
    <row r="55" spans="1:15">
      <c r="A55" s="2"/>
      <c r="B55" s="2"/>
      <c r="C55" s="2"/>
    </row>
    <row r="57" spans="1:15">
      <c r="A57" s="262" t="s">
        <v>224</v>
      </c>
      <c r="B57" s="262"/>
      <c r="C57" s="262"/>
    </row>
    <row r="58" spans="1:15" ht="50.25" customHeight="1">
      <c r="A58" s="262"/>
      <c r="B58" s="262"/>
      <c r="C58" s="262"/>
      <c r="E58" s="263" t="s">
        <v>306</v>
      </c>
      <c r="F58" s="263"/>
      <c r="G58" s="263"/>
      <c r="I58" s="264" t="s">
        <v>307</v>
      </c>
      <c r="J58" s="264"/>
      <c r="K58" s="264"/>
      <c r="M58" s="260" t="s">
        <v>1537</v>
      </c>
      <c r="N58" s="260"/>
      <c r="O58" s="260"/>
    </row>
    <row r="59" spans="1:15">
      <c r="A59" s="2"/>
      <c r="B59" s="2" t="s">
        <v>220</v>
      </c>
      <c r="C59" s="2" t="s">
        <v>221</v>
      </c>
      <c r="E59" s="83" t="s">
        <v>302</v>
      </c>
      <c r="F59" s="84" t="s">
        <v>304</v>
      </c>
      <c r="G59" s="84" t="s">
        <v>305</v>
      </c>
      <c r="I59" s="83" t="s">
        <v>303</v>
      </c>
      <c r="J59" s="83" t="s">
        <v>304</v>
      </c>
      <c r="K59" s="84" t="s">
        <v>305</v>
      </c>
      <c r="M59" s="199" t="s">
        <v>303</v>
      </c>
      <c r="N59" s="199" t="s">
        <v>304</v>
      </c>
      <c r="O59" s="199" t="s">
        <v>305</v>
      </c>
    </row>
    <row r="60" spans="1:15">
      <c r="A60" s="2" t="s">
        <v>30</v>
      </c>
      <c r="B60" s="3">
        <f>160090082/(C18+0.5*C22)</f>
        <v>26465.545048768392</v>
      </c>
      <c r="C60" s="3">
        <f>B60/2</f>
        <v>13232.772524384196</v>
      </c>
      <c r="E60" s="85">
        <f>160090082</f>
        <v>160090082</v>
      </c>
      <c r="F60" s="85">
        <f>E60/(G18+0.5*G22)</f>
        <v>26522.5450629556</v>
      </c>
      <c r="G60" s="85">
        <f>+F60/2</f>
        <v>13261.2725314778</v>
      </c>
      <c r="I60" s="85">
        <v>289895</v>
      </c>
      <c r="J60" s="85">
        <f>I60/(K18+0.5*K22)</f>
        <v>22299.615384615383</v>
      </c>
      <c r="K60" s="85">
        <f>+J60/2</f>
        <v>11149.807692307691</v>
      </c>
      <c r="M60" s="232">
        <v>0</v>
      </c>
      <c r="N60" s="232">
        <v>0</v>
      </c>
      <c r="O60" s="232">
        <f>N60/2</f>
        <v>0</v>
      </c>
    </row>
    <row r="61" spans="1:15">
      <c r="A61" s="2" t="s">
        <v>34</v>
      </c>
      <c r="B61" s="3">
        <f>77389744/(C19+0.5*C23)</f>
        <v>32448.52997903564</v>
      </c>
      <c r="C61" s="3">
        <f>B61/2</f>
        <v>16224.26498951782</v>
      </c>
      <c r="E61" s="85">
        <f>77389744</f>
        <v>77389744</v>
      </c>
      <c r="F61" s="85">
        <f>+E61/(G19+0.5*G23)</f>
        <v>36984.345997610515</v>
      </c>
      <c r="G61" s="85">
        <f t="shared" ref="G61:G62" si="2">+F61/2</f>
        <v>18492.172998805258</v>
      </c>
      <c r="I61" s="85">
        <v>18751909</v>
      </c>
      <c r="J61" s="85">
        <f>+I61/(K19+0.5*K23)</f>
        <v>64109.090598290597</v>
      </c>
      <c r="K61" s="85">
        <f t="shared" ref="K61:K62" si="3">+J61/2</f>
        <v>32054.545299145298</v>
      </c>
      <c r="M61" s="232">
        <f>'sans dotpédia'!AB6 * 1000</f>
        <v>19425000</v>
      </c>
      <c r="N61" s="232">
        <f>M61/('sans dotpédia'!P9+0.5*'sans dotpédia'!Q9)</f>
        <v>59769.230769230766</v>
      </c>
      <c r="O61" s="232">
        <f t="shared" ref="O61:O62" si="4">N61/2</f>
        <v>29884.615384615383</v>
      </c>
    </row>
    <row r="62" spans="1:15">
      <c r="A62" s="2" t="s">
        <v>23</v>
      </c>
      <c r="B62" s="3">
        <f>149122284/(C20+0.5*C24)</f>
        <v>43711.647076066249</v>
      </c>
      <c r="C62" s="3">
        <f>B62/2</f>
        <v>21855.823538033124</v>
      </c>
      <c r="E62" s="85">
        <f>149122284</f>
        <v>149122284</v>
      </c>
      <c r="F62" s="85">
        <f>+E62/(G20+0.5*G24)</f>
        <v>43762.959354365368</v>
      </c>
      <c r="G62" s="85">
        <f t="shared" si="2"/>
        <v>21881.479677182684</v>
      </c>
      <c r="I62" s="85">
        <v>256823.21</v>
      </c>
      <c r="J62" s="85">
        <f>+I62/(K20+0.5*K24)</f>
        <v>64205.802499999998</v>
      </c>
      <c r="K62" s="85">
        <f t="shared" si="3"/>
        <v>32102.901249999999</v>
      </c>
      <c r="M62" s="232">
        <v>0</v>
      </c>
      <c r="N62" s="232">
        <v>0</v>
      </c>
      <c r="O62" s="232">
        <f t="shared" si="4"/>
        <v>0</v>
      </c>
    </row>
    <row r="63" spans="1:15">
      <c r="A63" s="2"/>
      <c r="B63" s="3"/>
      <c r="C63" s="3"/>
      <c r="E63" s="86">
        <f>+SUM(E60:E62)</f>
        <v>386602110</v>
      </c>
      <c r="F63" s="32"/>
      <c r="G63" s="32"/>
      <c r="I63" s="86">
        <f>+SUM(I60:I62)</f>
        <v>19298627.210000001</v>
      </c>
      <c r="J63" s="32"/>
      <c r="K63" s="32"/>
      <c r="M63" s="232">
        <f>M61+M60+M62</f>
        <v>19425000</v>
      </c>
      <c r="N63" s="232"/>
      <c r="O63" s="232"/>
    </row>
    <row r="64" spans="1:15">
      <c r="A64" s="2"/>
      <c r="B64" s="2"/>
      <c r="C64" s="2"/>
    </row>
    <row r="65" spans="1:3">
      <c r="A65" s="2" t="s">
        <v>222</v>
      </c>
      <c r="B65" s="4">
        <v>0.9</v>
      </c>
      <c r="C65" s="2"/>
    </row>
    <row r="66" spans="1:3">
      <c r="A66" s="2" t="s">
        <v>223</v>
      </c>
      <c r="B66" s="4">
        <v>0.95</v>
      </c>
      <c r="C66" s="2"/>
    </row>
    <row r="81" ht="15" customHeight="1"/>
    <row r="108" ht="15" customHeight="1"/>
    <row r="109" ht="15" customHeight="1"/>
  </sheetData>
  <mergeCells count="7">
    <mergeCell ref="M58:O58"/>
    <mergeCell ref="A2:N2"/>
    <mergeCell ref="A57:C58"/>
    <mergeCell ref="E58:G58"/>
    <mergeCell ref="I58:K58"/>
    <mergeCell ref="E4:E5"/>
    <mergeCell ref="M6:N8"/>
  </mergeCells>
  <pageMargins left="0.31496062992125984" right="0.31496062992125984" top="0.35433070866141736" bottom="0.35433070866141736" header="0.31496062992125984" footer="0.31496062992125984"/>
  <pageSetup paperSize="9" scale="5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273DB-2B27-4AE5-96A6-609A69392AD0}">
  <dimension ref="A1:AW180"/>
  <sheetViews>
    <sheetView showGridLines="0" tabSelected="1" zoomScale="90" zoomScaleNormal="90" workbookViewId="0">
      <pane xSplit="4" ySplit="4" topLeftCell="AD5" activePane="bottomRight" state="frozen"/>
      <selection pane="topRight" activeCell="E1" sqref="E1"/>
      <selection pane="bottomLeft" activeCell="A4" sqref="A4"/>
      <selection pane="bottomRight" activeCell="AX6" sqref="AX6"/>
    </sheetView>
  </sheetViews>
  <sheetFormatPr baseColWidth="10" defaultRowHeight="15"/>
  <cols>
    <col min="2" max="2" width="13.7109375" customWidth="1"/>
    <col min="4" max="4" width="40.5703125" customWidth="1"/>
    <col min="5" max="13" width="11.5703125" customWidth="1"/>
    <col min="16" max="19" width="9" customWidth="1"/>
    <col min="20" max="20" width="3.7109375" customWidth="1"/>
    <col min="25" max="26" width="9.85546875" customWidth="1"/>
    <col min="34" max="34" width="10.140625" customWidth="1"/>
    <col min="42" max="42" width="14.28515625" customWidth="1"/>
    <col min="43" max="43" width="2.7109375" customWidth="1"/>
    <col min="45" max="45" width="1.42578125" customWidth="1"/>
  </cols>
  <sheetData>
    <row r="1" spans="1:49" ht="34.5">
      <c r="A1" s="49" t="s">
        <v>226</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F1" s="48"/>
      <c r="AG1" s="48"/>
      <c r="AH1" s="48"/>
      <c r="AI1" s="48"/>
      <c r="AJ1" s="48"/>
      <c r="AK1" s="48"/>
      <c r="AL1" s="48"/>
      <c r="AM1" s="48"/>
      <c r="AN1" s="48"/>
      <c r="AO1" s="48"/>
    </row>
    <row r="2" spans="1:49" ht="24" customHeight="1">
      <c r="A2" s="50" t="s">
        <v>0</v>
      </c>
      <c r="B2" s="48"/>
      <c r="C2" s="48"/>
      <c r="D2" s="75" t="s">
        <v>4</v>
      </c>
      <c r="E2" s="48"/>
      <c r="F2" s="48"/>
      <c r="G2" s="48"/>
      <c r="H2" s="48"/>
      <c r="I2" s="48"/>
      <c r="J2" s="48"/>
      <c r="K2" s="48"/>
      <c r="L2" s="48"/>
      <c r="M2" s="48"/>
      <c r="N2" s="48"/>
      <c r="O2" s="48"/>
      <c r="P2" s="48"/>
      <c r="Q2" s="48"/>
      <c r="R2" s="48"/>
      <c r="S2" s="48"/>
      <c r="T2" s="48"/>
      <c r="U2" s="48"/>
      <c r="V2" s="229"/>
      <c r="W2" s="48"/>
      <c r="X2" s="48"/>
      <c r="Y2" s="48"/>
      <c r="Z2" s="48"/>
      <c r="AA2" s="93">
        <f>+'synthèse v2'!G4</f>
        <v>0.9</v>
      </c>
      <c r="AB2" s="93">
        <f>+'synthèse v2'!G5</f>
        <v>0.95</v>
      </c>
      <c r="AC2" s="48"/>
      <c r="AD2" s="48"/>
      <c r="AF2" s="48"/>
      <c r="AG2" s="48"/>
      <c r="AH2" s="48"/>
      <c r="AI2" s="48"/>
      <c r="AJ2" s="93">
        <f>+'synthèse v2'!I4</f>
        <v>0.9</v>
      </c>
      <c r="AK2" s="93">
        <f>+'synthèse v2'!I5</f>
        <v>0.95</v>
      </c>
      <c r="AL2" s="48"/>
      <c r="AM2" s="48"/>
      <c r="AN2" s="48"/>
      <c r="AO2" s="48"/>
    </row>
    <row r="3" spans="1:49" ht="24" customHeight="1">
      <c r="A3" s="50"/>
      <c r="B3" s="48"/>
      <c r="C3" s="48"/>
      <c r="D3" s="75"/>
      <c r="E3" s="48"/>
      <c r="F3" s="48"/>
      <c r="G3" s="48"/>
      <c r="H3" s="48"/>
      <c r="I3" s="48"/>
      <c r="J3" s="48"/>
      <c r="K3" s="48"/>
      <c r="L3" s="48"/>
      <c r="M3" s="48"/>
      <c r="N3" s="48"/>
      <c r="O3" s="48"/>
      <c r="P3" s="48"/>
      <c r="Q3" s="48"/>
      <c r="R3" s="48"/>
      <c r="S3" s="48"/>
      <c r="T3" s="48"/>
      <c r="U3" s="48"/>
      <c r="V3" s="229"/>
      <c r="W3" s="269" t="s">
        <v>229</v>
      </c>
      <c r="X3" s="270"/>
      <c r="Y3" s="270"/>
      <c r="Z3" s="270"/>
      <c r="AA3" s="270"/>
      <c r="AB3" s="270"/>
      <c r="AC3" s="270"/>
      <c r="AD3" s="270"/>
      <c r="AE3" s="271"/>
      <c r="AF3" s="272" t="s">
        <v>1557</v>
      </c>
      <c r="AG3" s="272"/>
      <c r="AH3" s="272"/>
      <c r="AI3" s="272"/>
      <c r="AJ3" s="272"/>
      <c r="AK3" s="272"/>
      <c r="AL3" s="272"/>
      <c r="AM3" s="272"/>
      <c r="AN3" s="272"/>
      <c r="AO3" s="272"/>
      <c r="AP3" s="272"/>
      <c r="AR3" s="254" t="s">
        <v>1567</v>
      </c>
      <c r="AT3" s="273" t="s">
        <v>1568</v>
      </c>
      <c r="AU3" s="273"/>
      <c r="AV3" s="273"/>
      <c r="AW3" s="273"/>
    </row>
    <row r="4" spans="1:49" ht="60" customHeight="1">
      <c r="A4" s="75" t="s">
        <v>1</v>
      </c>
      <c r="B4" s="75" t="s">
        <v>2</v>
      </c>
      <c r="C4" s="75" t="s">
        <v>3</v>
      </c>
      <c r="D4" s="75" t="s">
        <v>4</v>
      </c>
      <c r="E4" s="75" t="s">
        <v>5</v>
      </c>
      <c r="F4" s="75" t="s">
        <v>6</v>
      </c>
      <c r="G4" s="75" t="s">
        <v>7</v>
      </c>
      <c r="H4" s="75" t="s">
        <v>8</v>
      </c>
      <c r="I4" s="75" t="s">
        <v>9</v>
      </c>
      <c r="J4" s="75" t="s">
        <v>10</v>
      </c>
      <c r="K4" s="75" t="s">
        <v>11</v>
      </c>
      <c r="L4" s="75" t="s">
        <v>12</v>
      </c>
      <c r="M4" s="75" t="s">
        <v>13</v>
      </c>
      <c r="N4" s="76" t="s">
        <v>14</v>
      </c>
      <c r="O4" s="76" t="s">
        <v>15</v>
      </c>
      <c r="P4" s="76" t="s">
        <v>16</v>
      </c>
      <c r="Q4" s="76" t="s">
        <v>17</v>
      </c>
      <c r="R4" s="76" t="s">
        <v>1538</v>
      </c>
      <c r="S4" s="76" t="s">
        <v>503</v>
      </c>
      <c r="T4" s="247" t="s">
        <v>1558</v>
      </c>
      <c r="U4" s="91" t="s">
        <v>1554</v>
      </c>
      <c r="V4" s="91" t="s">
        <v>1555</v>
      </c>
      <c r="W4" s="248" t="s">
        <v>1559</v>
      </c>
      <c r="X4" s="248" t="s">
        <v>1560</v>
      </c>
      <c r="Y4" s="248" t="s">
        <v>1553</v>
      </c>
      <c r="Z4" s="249" t="s">
        <v>1552</v>
      </c>
      <c r="AA4" s="249" t="s">
        <v>1561</v>
      </c>
      <c r="AB4" s="249" t="s">
        <v>1562</v>
      </c>
      <c r="AC4" s="249" t="s">
        <v>1563</v>
      </c>
      <c r="AD4" s="249" t="s">
        <v>1564</v>
      </c>
      <c r="AE4" s="249" t="s">
        <v>1556</v>
      </c>
      <c r="AF4" s="250" t="s">
        <v>1559</v>
      </c>
      <c r="AG4" s="251" t="s">
        <v>1560</v>
      </c>
      <c r="AH4" s="251" t="s">
        <v>283</v>
      </c>
      <c r="AI4" s="251" t="s">
        <v>284</v>
      </c>
      <c r="AJ4" s="252" t="s">
        <v>309</v>
      </c>
      <c r="AK4" s="252" t="s">
        <v>310</v>
      </c>
      <c r="AL4" s="250" t="s">
        <v>1565</v>
      </c>
      <c r="AM4" s="250" t="s">
        <v>1566</v>
      </c>
      <c r="AN4" s="251" t="s">
        <v>1563</v>
      </c>
      <c r="AO4" s="251" t="s">
        <v>1564</v>
      </c>
      <c r="AP4" s="250" t="s">
        <v>1556</v>
      </c>
      <c r="AR4" s="253" t="s">
        <v>1556</v>
      </c>
      <c r="AS4" s="77"/>
      <c r="AT4" s="255" t="s">
        <v>1548</v>
      </c>
      <c r="AU4" s="255" t="s">
        <v>1549</v>
      </c>
      <c r="AV4" s="255" t="s">
        <v>1551</v>
      </c>
      <c r="AW4" s="255" t="s">
        <v>1550</v>
      </c>
    </row>
    <row r="5" spans="1:49">
      <c r="A5" s="1" t="s">
        <v>22</v>
      </c>
      <c r="B5" s="1" t="s">
        <v>23</v>
      </c>
      <c r="C5" s="97">
        <v>90180019</v>
      </c>
      <c r="D5" s="1" t="s">
        <v>24</v>
      </c>
      <c r="E5" s="1" t="s">
        <v>25</v>
      </c>
      <c r="F5" s="44">
        <v>13267</v>
      </c>
      <c r="G5" s="44">
        <v>12089</v>
      </c>
      <c r="H5" s="44">
        <v>1178</v>
      </c>
      <c r="I5" s="45">
        <v>0.41499999999999998</v>
      </c>
      <c r="J5" s="45">
        <v>71.58</v>
      </c>
      <c r="K5" s="45">
        <v>8.1300000000000008</v>
      </c>
      <c r="L5" s="45">
        <v>2.54</v>
      </c>
      <c r="M5" s="45">
        <v>1.69</v>
      </c>
      <c r="N5" s="35">
        <v>9</v>
      </c>
      <c r="O5" s="35" t="s">
        <v>26</v>
      </c>
      <c r="P5" s="216">
        <v>50</v>
      </c>
      <c r="Q5" s="35">
        <v>8</v>
      </c>
      <c r="R5" s="225">
        <f>+G5/(P5*365)</f>
        <v>0.66241095890410961</v>
      </c>
      <c r="S5" s="225">
        <f>+H5/(Q5*365)</f>
        <v>0.40342465753424656</v>
      </c>
      <c r="T5" s="225"/>
      <c r="U5" s="78">
        <f t="shared" ref="U5:U36" si="0">AJ5+AA5</f>
        <v>11.87945205479452</v>
      </c>
      <c r="V5" s="78">
        <f t="shared" ref="V5:V36" si="1">AK5+AB5</f>
        <v>4.3726027397260276</v>
      </c>
      <c r="W5" s="36">
        <f t="shared" ref="W5:W36" si="2">IFERROR(
   IF(P5 - AF5 &gt; 0,
      P5 - AF5,
      0
   ),
   0
)</f>
        <v>50</v>
      </c>
      <c r="X5" s="36">
        <f t="shared" ref="X5:X36" si="3">IFERROR(
   IF(Q5 - AG5 &gt; 0,
      Q5 - AG5,
      0
   ),
   0
)</f>
        <v>8</v>
      </c>
      <c r="Y5" s="40">
        <f>IF(B5="Public", 'synthèse v2'!$F$62/1000, IF(B5="Privé non lucratif",'synthèse v2'!$F$61/1000, IF(B5="Privé", 'synthèse v2'!$F$60/1000, "")))</f>
        <v>43.762959354365371</v>
      </c>
      <c r="Z5" s="40">
        <f>+Y5/2</f>
        <v>21.881479677182686</v>
      </c>
      <c r="AA5" s="40">
        <f t="shared" ref="AA5:AA36" si="4">IFERROR(
  IF(
    (((W5*365*$AA$2) - (W5*365*R5)) / 365) &gt; 0,
    ((W5*365*$AA$2) - (W5*365*R5)) / 365,
    0
  ),
  0
)</f>
        <v>11.87945205479452</v>
      </c>
      <c r="AB5" s="40">
        <f t="shared" ref="AB5:AB36" si="5">IFERROR(
  IF(
    (((X5*365*$AB$2) - (X5*365*S5)) / 365) &gt; 0,
    ((X5*365*$AB$2) - (X5*365*S5)) / 365,
    0
  ),
  0
)</f>
        <v>4.3726027397260276</v>
      </c>
      <c r="AC5" s="34">
        <f t="shared" ref="AC5:AC36" si="6">AA5*Y5</f>
        <v>519.8799774261048</v>
      </c>
      <c r="AD5" s="34">
        <f t="shared" ref="AD5:AD36" si="7">AB5*Z5</f>
        <v>95.679017985708413</v>
      </c>
      <c r="AE5" s="34">
        <f t="shared" ref="AE5:AE36" si="8">AC5+AD5</f>
        <v>615.55899541181316</v>
      </c>
      <c r="AF5" s="36">
        <v>0</v>
      </c>
      <c r="AG5" s="36">
        <v>0</v>
      </c>
      <c r="AH5" s="39">
        <v>0</v>
      </c>
      <c r="AI5" s="39">
        <v>0</v>
      </c>
      <c r="AJ5" s="36">
        <f t="shared" ref="AJ5:AJ36" si="9">IF((((AF5*365*$AJ$2) - (AF5*365*AH5)) / 365) &gt; 0,
    ((AF5*365*$AJ$2) - (AF5*365*AH5)) / 365,
    0)</f>
        <v>0</v>
      </c>
      <c r="AK5" s="36">
        <f t="shared" ref="AK5:AK36" si="10">IF(
  (((AG5*365*$AK$2) - (AG5*365*AI5)) / 365) &gt; 0,
  ((AG5*365*$AK$2) - (AG5*365*AI5)) / 365,
  0
)</f>
        <v>0</v>
      </c>
      <c r="AL5" s="40"/>
      <c r="AM5" s="40"/>
      <c r="AN5" s="34">
        <f t="shared" ref="AN5:AN36" si="11">AJ5*AL5</f>
        <v>0</v>
      </c>
      <c r="AO5" s="34">
        <f t="shared" ref="AO5:AO36" si="12">AK5*AM5</f>
        <v>0</v>
      </c>
      <c r="AP5" s="34">
        <f t="shared" ref="AP5:AP36" si="13">AN5 + AO5</f>
        <v>0</v>
      </c>
      <c r="AR5" s="34">
        <f t="shared" ref="AR5:AR36" si="14">AP5+AE5</f>
        <v>615.55899541181316</v>
      </c>
      <c r="AS5" s="34"/>
      <c r="AT5" s="29">
        <f>+VLOOKUP(C5,dotpop24!$A$10:$K$178,11,0)</f>
        <v>2039088.43</v>
      </c>
      <c r="AU5" s="29">
        <f t="shared" ref="AU5:AU36" si="15">+AT5/(P5+Q5*0.5)</f>
        <v>37760.896851851852</v>
      </c>
      <c r="AV5" s="29">
        <f>AU5/2</f>
        <v>18880.448425925926</v>
      </c>
      <c r="AW5" s="29">
        <f t="shared" ref="AW5:AW36" si="16">+(AA5*AU5)+(AB5*AV5)</f>
        <v>531135.46421207511</v>
      </c>
    </row>
    <row r="6" spans="1:49">
      <c r="A6" s="1" t="s">
        <v>22</v>
      </c>
      <c r="B6" s="1" t="s">
        <v>23</v>
      </c>
      <c r="C6" s="97">
        <v>90781774</v>
      </c>
      <c r="D6" s="1" t="s">
        <v>27</v>
      </c>
      <c r="E6" s="1" t="s">
        <v>25</v>
      </c>
      <c r="F6" s="44">
        <v>27180</v>
      </c>
      <c r="G6" s="44">
        <v>27180</v>
      </c>
      <c r="H6" s="44">
        <v>0</v>
      </c>
      <c r="I6" s="45">
        <v>0.39200000000000002</v>
      </c>
      <c r="J6" s="45">
        <v>83.95</v>
      </c>
      <c r="K6" s="45">
        <v>12.48</v>
      </c>
      <c r="L6" s="45">
        <v>4.08</v>
      </c>
      <c r="M6" s="45">
        <v>0.94</v>
      </c>
      <c r="N6" s="35">
        <v>9</v>
      </c>
      <c r="O6" s="35" t="s">
        <v>26</v>
      </c>
      <c r="P6" s="35">
        <v>79</v>
      </c>
      <c r="Q6" s="35">
        <v>0</v>
      </c>
      <c r="R6" s="225">
        <f t="shared" ref="R6:R69" si="17">+G6/(P6*365)</f>
        <v>0.94260447372984224</v>
      </c>
      <c r="S6" s="225"/>
      <c r="T6" s="225"/>
      <c r="U6" s="78">
        <f t="shared" si="0"/>
        <v>0</v>
      </c>
      <c r="V6" s="78">
        <f t="shared" si="1"/>
        <v>0</v>
      </c>
      <c r="W6" s="36">
        <f t="shared" si="2"/>
        <v>79</v>
      </c>
      <c r="X6" s="36">
        <f t="shared" si="3"/>
        <v>0</v>
      </c>
      <c r="Y6" s="40">
        <f>IF(B6="Public", 'synthèse v2'!$F$62/1000, IF(B6="Privé non lucratif",'synthèse v2'!$F$61/1000, IF(B6="Privé", 'synthèse v2'!$F$60/1000, "")))</f>
        <v>43.762959354365371</v>
      </c>
      <c r="Z6" s="40">
        <f t="shared" ref="Z6:Z67" si="18">+Y6/2</f>
        <v>21.881479677182686</v>
      </c>
      <c r="AA6" s="40">
        <f t="shared" si="4"/>
        <v>0</v>
      </c>
      <c r="AB6" s="40">
        <f t="shared" si="5"/>
        <v>0</v>
      </c>
      <c r="AC6" s="34">
        <f t="shared" si="6"/>
        <v>0</v>
      </c>
      <c r="AD6" s="34">
        <f t="shared" si="7"/>
        <v>0</v>
      </c>
      <c r="AE6" s="34">
        <f t="shared" si="8"/>
        <v>0</v>
      </c>
      <c r="AF6" s="36">
        <v>0</v>
      </c>
      <c r="AG6" s="36">
        <v>0</v>
      </c>
      <c r="AH6" s="39">
        <v>0</v>
      </c>
      <c r="AI6" s="39">
        <v>0</v>
      </c>
      <c r="AJ6" s="36">
        <f t="shared" si="9"/>
        <v>0</v>
      </c>
      <c r="AK6" s="36">
        <f t="shared" si="10"/>
        <v>0</v>
      </c>
      <c r="AL6" s="40"/>
      <c r="AM6" s="40"/>
      <c r="AN6" s="34">
        <f t="shared" si="11"/>
        <v>0</v>
      </c>
      <c r="AO6" s="34">
        <f t="shared" si="12"/>
        <v>0</v>
      </c>
      <c r="AP6" s="34">
        <f t="shared" si="13"/>
        <v>0</v>
      </c>
      <c r="AR6" s="34">
        <f t="shared" si="14"/>
        <v>0</v>
      </c>
      <c r="AS6" s="34"/>
      <c r="AT6" s="29">
        <f>+VLOOKUP(C6,dotpop24!$A$10:$K$178,11,0)</f>
        <v>4810767.4400000004</v>
      </c>
      <c r="AU6" s="29">
        <f t="shared" si="15"/>
        <v>60895.790379746839</v>
      </c>
      <c r="AV6" s="29">
        <f t="shared" ref="AV6:AV69" si="19">AU6/2</f>
        <v>30447.895189873419</v>
      </c>
      <c r="AW6" s="29">
        <f t="shared" si="16"/>
        <v>0</v>
      </c>
    </row>
    <row r="7" spans="1:49">
      <c r="A7" s="1" t="s">
        <v>22</v>
      </c>
      <c r="B7" s="1" t="s">
        <v>23</v>
      </c>
      <c r="C7" s="97">
        <v>90781816</v>
      </c>
      <c r="D7" s="1" t="s">
        <v>29</v>
      </c>
      <c r="E7" s="1" t="s">
        <v>25</v>
      </c>
      <c r="F7" s="44">
        <v>19342</v>
      </c>
      <c r="G7" s="44">
        <v>19342</v>
      </c>
      <c r="H7" s="44">
        <v>0</v>
      </c>
      <c r="I7" s="45">
        <v>0.53500000000000003</v>
      </c>
      <c r="J7" s="45">
        <v>75.34</v>
      </c>
      <c r="K7" s="45">
        <v>11.59</v>
      </c>
      <c r="L7" s="45">
        <v>4.1900000000000004</v>
      </c>
      <c r="M7" s="45">
        <v>1.43</v>
      </c>
      <c r="N7" s="35">
        <v>9</v>
      </c>
      <c r="O7" s="35" t="s">
        <v>26</v>
      </c>
      <c r="P7" s="35">
        <v>57</v>
      </c>
      <c r="Q7" s="35">
        <v>0</v>
      </c>
      <c r="R7" s="225">
        <f t="shared" si="17"/>
        <v>0.92968036529680365</v>
      </c>
      <c r="S7" s="225"/>
      <c r="T7" s="225"/>
      <c r="U7" s="78">
        <f t="shared" si="0"/>
        <v>0</v>
      </c>
      <c r="V7" s="78">
        <f t="shared" si="1"/>
        <v>0</v>
      </c>
      <c r="W7" s="36">
        <f t="shared" si="2"/>
        <v>57</v>
      </c>
      <c r="X7" s="36">
        <f t="shared" si="3"/>
        <v>0</v>
      </c>
      <c r="Y7" s="40">
        <f>IF(B7="Public", 'synthèse v2'!$F$62/1000, IF(B7="Privé non lucratif",'synthèse v2'!$F$61/1000, IF(B7="Privé", 'synthèse v2'!$F$60/1000, "")))</f>
        <v>43.762959354365371</v>
      </c>
      <c r="Z7" s="40">
        <f t="shared" si="18"/>
        <v>21.881479677182686</v>
      </c>
      <c r="AA7" s="40">
        <f t="shared" si="4"/>
        <v>0</v>
      </c>
      <c r="AB7" s="40">
        <f t="shared" si="5"/>
        <v>0</v>
      </c>
      <c r="AC7" s="34">
        <f t="shared" si="6"/>
        <v>0</v>
      </c>
      <c r="AD7" s="34">
        <f t="shared" si="7"/>
        <v>0</v>
      </c>
      <c r="AE7" s="34">
        <f t="shared" si="8"/>
        <v>0</v>
      </c>
      <c r="AF7" s="36">
        <v>0</v>
      </c>
      <c r="AG7" s="36">
        <v>0</v>
      </c>
      <c r="AH7" s="39">
        <v>0</v>
      </c>
      <c r="AI7" s="39">
        <v>0</v>
      </c>
      <c r="AJ7" s="36">
        <f t="shared" si="9"/>
        <v>0</v>
      </c>
      <c r="AK7" s="36">
        <f t="shared" si="10"/>
        <v>0</v>
      </c>
      <c r="AL7" s="40"/>
      <c r="AM7" s="40"/>
      <c r="AN7" s="34">
        <f t="shared" si="11"/>
        <v>0</v>
      </c>
      <c r="AO7" s="34">
        <f t="shared" si="12"/>
        <v>0</v>
      </c>
      <c r="AP7" s="34">
        <f t="shared" si="13"/>
        <v>0</v>
      </c>
      <c r="AR7" s="34">
        <f t="shared" si="14"/>
        <v>0</v>
      </c>
      <c r="AS7" s="34"/>
      <c r="AT7" s="29">
        <f>+VLOOKUP(C7,dotpop24!$A$10:$K$178,11,0)</f>
        <v>3334359.65</v>
      </c>
      <c r="AU7" s="29">
        <f t="shared" si="15"/>
        <v>58497.537719298241</v>
      </c>
      <c r="AV7" s="29">
        <f t="shared" si="19"/>
        <v>29248.768859649121</v>
      </c>
      <c r="AW7" s="29">
        <f t="shared" si="16"/>
        <v>0</v>
      </c>
    </row>
    <row r="8" spans="1:49">
      <c r="A8" s="1" t="s">
        <v>30</v>
      </c>
      <c r="B8" s="1" t="s">
        <v>30</v>
      </c>
      <c r="C8" s="97">
        <v>110003118</v>
      </c>
      <c r="D8" s="1" t="s">
        <v>31</v>
      </c>
      <c r="E8" s="1" t="s">
        <v>25</v>
      </c>
      <c r="F8" s="44">
        <v>44024</v>
      </c>
      <c r="G8" s="44">
        <v>25272</v>
      </c>
      <c r="H8" s="44">
        <v>18752</v>
      </c>
      <c r="I8" s="45">
        <v>0.497</v>
      </c>
      <c r="J8" s="45">
        <v>67.73</v>
      </c>
      <c r="K8" s="45">
        <v>7.61</v>
      </c>
      <c r="L8" s="45">
        <v>4.12</v>
      </c>
      <c r="M8" s="45">
        <v>5.08</v>
      </c>
      <c r="N8" s="35">
        <v>11</v>
      </c>
      <c r="O8" s="35" t="s">
        <v>26</v>
      </c>
      <c r="P8" s="35">
        <v>74</v>
      </c>
      <c r="Q8" s="35">
        <v>50</v>
      </c>
      <c r="R8" s="225">
        <f t="shared" si="17"/>
        <v>0.93565346168085894</v>
      </c>
      <c r="S8" s="225">
        <f>+H8/(Q8*365)</f>
        <v>1.0275068493150685</v>
      </c>
      <c r="T8" s="225"/>
      <c r="U8" s="78">
        <f t="shared" si="0"/>
        <v>0</v>
      </c>
      <c r="V8" s="78">
        <f t="shared" si="1"/>
        <v>0</v>
      </c>
      <c r="W8" s="36">
        <f t="shared" si="2"/>
        <v>74</v>
      </c>
      <c r="X8" s="36">
        <f t="shared" si="3"/>
        <v>50</v>
      </c>
      <c r="Y8" s="40">
        <f>IF(B8="Public", 'synthèse v2'!$F$62/1000, IF(B8="Privé non lucratif",'synthèse v2'!$F$61/1000, IF(B8="Privé", 'synthèse v2'!$F$60/1000, "")))</f>
        <v>26.522545062955601</v>
      </c>
      <c r="Z8" s="40">
        <f t="shared" si="18"/>
        <v>13.2612725314778</v>
      </c>
      <c r="AA8" s="40">
        <f t="shared" si="4"/>
        <v>0</v>
      </c>
      <c r="AB8" s="40">
        <f t="shared" si="5"/>
        <v>0</v>
      </c>
      <c r="AC8" s="34">
        <f t="shared" si="6"/>
        <v>0</v>
      </c>
      <c r="AD8" s="34">
        <f t="shared" si="7"/>
        <v>0</v>
      </c>
      <c r="AE8" s="34">
        <f t="shared" si="8"/>
        <v>0</v>
      </c>
      <c r="AF8" s="36">
        <v>0</v>
      </c>
      <c r="AG8" s="36">
        <v>0</v>
      </c>
      <c r="AH8" s="39">
        <v>0</v>
      </c>
      <c r="AI8" s="39">
        <v>0</v>
      </c>
      <c r="AJ8" s="36">
        <f t="shared" si="9"/>
        <v>0</v>
      </c>
      <c r="AK8" s="36">
        <f t="shared" si="10"/>
        <v>0</v>
      </c>
      <c r="AL8" s="40"/>
      <c r="AM8" s="40"/>
      <c r="AN8" s="34">
        <f t="shared" si="11"/>
        <v>0</v>
      </c>
      <c r="AO8" s="34">
        <f t="shared" si="12"/>
        <v>0</v>
      </c>
      <c r="AP8" s="34">
        <f t="shared" si="13"/>
        <v>0</v>
      </c>
      <c r="AR8" s="34">
        <f t="shared" si="14"/>
        <v>0</v>
      </c>
      <c r="AS8" s="34"/>
      <c r="AT8" s="29">
        <f>+VLOOKUP(C8,dotpop24!$A$10:$K$178,11,0)</f>
        <v>3172789.78</v>
      </c>
      <c r="AU8" s="29">
        <f t="shared" si="15"/>
        <v>32048.381616161612</v>
      </c>
      <c r="AV8" s="29">
        <f t="shared" si="19"/>
        <v>16024.190808080806</v>
      </c>
      <c r="AW8" s="29">
        <f t="shared" si="16"/>
        <v>0</v>
      </c>
    </row>
    <row r="9" spans="1:49">
      <c r="A9" s="1" t="s">
        <v>30</v>
      </c>
      <c r="B9" s="1" t="s">
        <v>30</v>
      </c>
      <c r="C9" s="97">
        <v>110004942</v>
      </c>
      <c r="D9" s="1" t="s">
        <v>32</v>
      </c>
      <c r="E9" s="1" t="s">
        <v>25</v>
      </c>
      <c r="F9" s="44">
        <v>33163</v>
      </c>
      <c r="G9" s="44">
        <v>27134</v>
      </c>
      <c r="H9" s="44">
        <v>6029</v>
      </c>
      <c r="I9" s="45">
        <v>0.38900000000000001</v>
      </c>
      <c r="J9" s="45">
        <v>73.7</v>
      </c>
      <c r="K9" s="45">
        <v>10.84</v>
      </c>
      <c r="L9" s="45">
        <v>4.53</v>
      </c>
      <c r="M9" s="45">
        <v>2.38</v>
      </c>
      <c r="N9" s="35">
        <v>11</v>
      </c>
      <c r="O9" s="35" t="s">
        <v>26</v>
      </c>
      <c r="P9" s="35">
        <v>77</v>
      </c>
      <c r="Q9" s="35">
        <v>3</v>
      </c>
      <c r="R9" s="225">
        <f t="shared" si="17"/>
        <v>0.96545098736879564</v>
      </c>
      <c r="S9" s="225">
        <f>+H9/(Q9*365)</f>
        <v>5.5059360730593605</v>
      </c>
      <c r="T9" s="225"/>
      <c r="U9" s="78">
        <f t="shared" si="0"/>
        <v>0</v>
      </c>
      <c r="V9" s="78">
        <f t="shared" si="1"/>
        <v>0</v>
      </c>
      <c r="W9" s="36">
        <f t="shared" si="2"/>
        <v>77</v>
      </c>
      <c r="X9" s="36">
        <f t="shared" si="3"/>
        <v>3</v>
      </c>
      <c r="Y9" s="40">
        <f>IF(B9="Public", 'synthèse v2'!$F$62/1000, IF(B9="Privé non lucratif",'synthèse v2'!$F$61/1000, IF(B9="Privé", 'synthèse v2'!$F$60/1000, "")))</f>
        <v>26.522545062955601</v>
      </c>
      <c r="Z9" s="40">
        <f t="shared" si="18"/>
        <v>13.2612725314778</v>
      </c>
      <c r="AA9" s="40">
        <f t="shared" si="4"/>
        <v>0</v>
      </c>
      <c r="AB9" s="40">
        <f t="shared" si="5"/>
        <v>0</v>
      </c>
      <c r="AC9" s="34">
        <f t="shared" si="6"/>
        <v>0</v>
      </c>
      <c r="AD9" s="34">
        <f t="shared" si="7"/>
        <v>0</v>
      </c>
      <c r="AE9" s="34">
        <f t="shared" si="8"/>
        <v>0</v>
      </c>
      <c r="AF9" s="36">
        <v>0</v>
      </c>
      <c r="AG9" s="36">
        <v>0</v>
      </c>
      <c r="AH9" s="39">
        <v>0</v>
      </c>
      <c r="AI9" s="39">
        <v>0</v>
      </c>
      <c r="AJ9" s="36">
        <f t="shared" si="9"/>
        <v>0</v>
      </c>
      <c r="AK9" s="36">
        <f t="shared" si="10"/>
        <v>0</v>
      </c>
      <c r="AL9" s="40"/>
      <c r="AM9" s="40"/>
      <c r="AN9" s="34">
        <f t="shared" si="11"/>
        <v>0</v>
      </c>
      <c r="AO9" s="34">
        <f t="shared" si="12"/>
        <v>0</v>
      </c>
      <c r="AP9" s="34">
        <f t="shared" si="13"/>
        <v>0</v>
      </c>
      <c r="AR9" s="34">
        <f t="shared" si="14"/>
        <v>0</v>
      </c>
      <c r="AS9" s="34"/>
      <c r="AT9" s="29">
        <f>+VLOOKUP(C9,dotpop24!$A$10:$K$178,11,0)</f>
        <v>2116295.23</v>
      </c>
      <c r="AU9" s="29">
        <f t="shared" si="15"/>
        <v>26959.174904458599</v>
      </c>
      <c r="AV9" s="29">
        <f t="shared" si="19"/>
        <v>13479.5874522293</v>
      </c>
      <c r="AW9" s="29">
        <f t="shared" si="16"/>
        <v>0</v>
      </c>
    </row>
    <row r="10" spans="1:49">
      <c r="A10" s="1" t="s">
        <v>33</v>
      </c>
      <c r="B10" s="1" t="s">
        <v>34</v>
      </c>
      <c r="C10" s="97">
        <v>110007630</v>
      </c>
      <c r="D10" s="1" t="s">
        <v>35</v>
      </c>
      <c r="E10" s="1" t="s">
        <v>25</v>
      </c>
      <c r="F10" s="44">
        <v>15354</v>
      </c>
      <c r="G10" s="44">
        <v>12222</v>
      </c>
      <c r="H10" s="44">
        <v>3132</v>
      </c>
      <c r="I10" s="45">
        <v>0.35799999999999998</v>
      </c>
      <c r="J10" s="45">
        <v>72.67</v>
      </c>
      <c r="K10" s="45">
        <v>9.23</v>
      </c>
      <c r="L10" s="45">
        <v>4.08</v>
      </c>
      <c r="M10" s="45">
        <v>2.4</v>
      </c>
      <c r="N10" s="35">
        <v>11</v>
      </c>
      <c r="O10" s="35" t="s">
        <v>26</v>
      </c>
      <c r="P10" s="35">
        <v>40</v>
      </c>
      <c r="Q10" s="35">
        <v>10</v>
      </c>
      <c r="R10" s="225">
        <f t="shared" si="17"/>
        <v>0.8371232876712329</v>
      </c>
      <c r="S10" s="225">
        <f>+H10/(Q10*365)</f>
        <v>0.8580821917808219</v>
      </c>
      <c r="T10" s="225"/>
      <c r="U10" s="78">
        <f t="shared" si="0"/>
        <v>2.515068493150685</v>
      </c>
      <c r="V10" s="78">
        <f t="shared" si="1"/>
        <v>0.91917808219178088</v>
      </c>
      <c r="W10" s="36">
        <f t="shared" si="2"/>
        <v>40</v>
      </c>
      <c r="X10" s="36">
        <f t="shared" si="3"/>
        <v>10</v>
      </c>
      <c r="Y10" s="40">
        <f>IF(B10="Public", 'synthèse v2'!$F$62/1000, IF(B10="Privé non lucratif",'synthèse v2'!$F$61/1000, IF(B10="Privé", 'synthèse v2'!$F$60/1000, "")))</f>
        <v>36.984345997610518</v>
      </c>
      <c r="Z10" s="40">
        <f t="shared" si="18"/>
        <v>18.492172998805259</v>
      </c>
      <c r="AA10" s="40">
        <f t="shared" si="4"/>
        <v>2.515068493150685</v>
      </c>
      <c r="AB10" s="40">
        <f t="shared" si="5"/>
        <v>0.91917808219178088</v>
      </c>
      <c r="AC10" s="34">
        <f t="shared" si="6"/>
        <v>93.018163358373855</v>
      </c>
      <c r="AD10" s="34">
        <f t="shared" si="7"/>
        <v>16.997600112600452</v>
      </c>
      <c r="AE10" s="34">
        <f t="shared" si="8"/>
        <v>110.01576347097431</v>
      </c>
      <c r="AF10" s="36">
        <v>0</v>
      </c>
      <c r="AG10" s="36">
        <v>0</v>
      </c>
      <c r="AH10" s="39">
        <v>0</v>
      </c>
      <c r="AI10" s="39">
        <v>0</v>
      </c>
      <c r="AJ10" s="36">
        <f t="shared" si="9"/>
        <v>0</v>
      </c>
      <c r="AK10" s="36">
        <f t="shared" si="10"/>
        <v>0</v>
      </c>
      <c r="AL10" s="40"/>
      <c r="AM10" s="40"/>
      <c r="AN10" s="34">
        <f t="shared" si="11"/>
        <v>0</v>
      </c>
      <c r="AO10" s="34">
        <f t="shared" si="12"/>
        <v>0</v>
      </c>
      <c r="AP10" s="34">
        <f t="shared" si="13"/>
        <v>0</v>
      </c>
      <c r="AR10" s="34">
        <f t="shared" si="14"/>
        <v>110.01576347097431</v>
      </c>
      <c r="AS10" s="34"/>
      <c r="AT10" s="29">
        <f>+VLOOKUP(C10,dotpop24!$A$10:$K$178,11,0)</f>
        <v>1330037.02</v>
      </c>
      <c r="AU10" s="29">
        <f t="shared" si="15"/>
        <v>29556.378222222222</v>
      </c>
      <c r="AV10" s="29">
        <f t="shared" si="19"/>
        <v>14778.189111111111</v>
      </c>
      <c r="AW10" s="29">
        <f t="shared" si="16"/>
        <v>87920.103163774736</v>
      </c>
    </row>
    <row r="11" spans="1:49">
      <c r="A11" s="1" t="s">
        <v>22</v>
      </c>
      <c r="B11" s="1" t="s">
        <v>23</v>
      </c>
      <c r="C11" s="97">
        <v>110780087</v>
      </c>
      <c r="D11" s="1" t="s">
        <v>36</v>
      </c>
      <c r="E11" s="1" t="s">
        <v>25</v>
      </c>
      <c r="F11" s="44">
        <v>7443</v>
      </c>
      <c r="G11" s="44">
        <v>7443</v>
      </c>
      <c r="H11" s="44">
        <v>0</v>
      </c>
      <c r="I11" s="45">
        <v>0.32800000000000001</v>
      </c>
      <c r="J11" s="45">
        <v>84.64</v>
      </c>
      <c r="K11" s="45">
        <v>10.199999999999999</v>
      </c>
      <c r="L11" s="45">
        <v>3.89</v>
      </c>
      <c r="M11" s="45">
        <v>1.67</v>
      </c>
      <c r="N11" s="35">
        <v>11</v>
      </c>
      <c r="O11" s="35" t="s">
        <v>26</v>
      </c>
      <c r="P11" s="35">
        <v>25</v>
      </c>
      <c r="Q11" s="35">
        <v>0</v>
      </c>
      <c r="R11" s="225">
        <f t="shared" si="17"/>
        <v>0.81567123287671228</v>
      </c>
      <c r="S11" s="225"/>
      <c r="T11" s="225"/>
      <c r="U11" s="78">
        <f t="shared" si="0"/>
        <v>2.1082191780821917</v>
      </c>
      <c r="V11" s="78">
        <f t="shared" si="1"/>
        <v>0</v>
      </c>
      <c r="W11" s="36">
        <f t="shared" si="2"/>
        <v>25</v>
      </c>
      <c r="X11" s="36">
        <f t="shared" si="3"/>
        <v>0</v>
      </c>
      <c r="Y11" s="40">
        <f>IF(B11="Public", 'synthèse v2'!$F$62/1000, IF(B11="Privé non lucratif",'synthèse v2'!$F$61/1000, IF(B11="Privé", 'synthèse v2'!$F$60/1000, "")))</f>
        <v>43.762959354365371</v>
      </c>
      <c r="Z11" s="40">
        <f t="shared" si="18"/>
        <v>21.881479677182686</v>
      </c>
      <c r="AA11" s="40">
        <f t="shared" si="4"/>
        <v>2.1082191780821917</v>
      </c>
      <c r="AB11" s="40">
        <f t="shared" si="5"/>
        <v>0</v>
      </c>
      <c r="AC11" s="34">
        <f t="shared" si="6"/>
        <v>92.261910200504531</v>
      </c>
      <c r="AD11" s="34">
        <f t="shared" si="7"/>
        <v>0</v>
      </c>
      <c r="AE11" s="34">
        <f t="shared" si="8"/>
        <v>92.261910200504531</v>
      </c>
      <c r="AF11" s="36">
        <v>0</v>
      </c>
      <c r="AG11" s="36">
        <v>0</v>
      </c>
      <c r="AH11" s="39">
        <v>0</v>
      </c>
      <c r="AI11" s="39">
        <v>0</v>
      </c>
      <c r="AJ11" s="36">
        <f t="shared" si="9"/>
        <v>0</v>
      </c>
      <c r="AK11" s="36">
        <f t="shared" si="10"/>
        <v>0</v>
      </c>
      <c r="AL11" s="40"/>
      <c r="AM11" s="40"/>
      <c r="AN11" s="34">
        <f t="shared" si="11"/>
        <v>0</v>
      </c>
      <c r="AO11" s="34">
        <f t="shared" si="12"/>
        <v>0</v>
      </c>
      <c r="AP11" s="34">
        <f t="shared" si="13"/>
        <v>0</v>
      </c>
      <c r="AR11" s="34">
        <f t="shared" si="14"/>
        <v>92.261910200504531</v>
      </c>
      <c r="AS11" s="34"/>
      <c r="AT11" s="29">
        <f>+VLOOKUP(C11,dotpop24!$A$10:$K$178,11,0)</f>
        <v>968894.07</v>
      </c>
      <c r="AU11" s="29">
        <f t="shared" si="15"/>
        <v>38755.762799999997</v>
      </c>
      <c r="AV11" s="29">
        <f t="shared" si="19"/>
        <v>19377.881399999998</v>
      </c>
      <c r="AW11" s="29">
        <f t="shared" si="16"/>
        <v>81705.642396164374</v>
      </c>
    </row>
    <row r="12" spans="1:49">
      <c r="A12" s="1" t="s">
        <v>22</v>
      </c>
      <c r="B12" s="1" t="s">
        <v>23</v>
      </c>
      <c r="C12" s="97">
        <v>110780137</v>
      </c>
      <c r="D12" s="1" t="s">
        <v>37</v>
      </c>
      <c r="E12" s="1" t="s">
        <v>25</v>
      </c>
      <c r="F12" s="44">
        <v>10620</v>
      </c>
      <c r="G12" s="44">
        <v>10620</v>
      </c>
      <c r="H12" s="44">
        <v>0</v>
      </c>
      <c r="I12" s="45">
        <v>0.28100000000000003</v>
      </c>
      <c r="J12" s="45">
        <v>86.34</v>
      </c>
      <c r="K12" s="45">
        <v>11.68</v>
      </c>
      <c r="L12" s="45">
        <v>4.76</v>
      </c>
      <c r="M12" s="45">
        <v>2.81</v>
      </c>
      <c r="N12" s="35">
        <v>11</v>
      </c>
      <c r="O12" s="35" t="s">
        <v>26</v>
      </c>
      <c r="P12" s="35">
        <v>30</v>
      </c>
      <c r="Q12" s="35">
        <v>0</v>
      </c>
      <c r="R12" s="225">
        <f t="shared" si="17"/>
        <v>0.96986301369863015</v>
      </c>
      <c r="S12" s="225"/>
      <c r="T12" s="225"/>
      <c r="U12" s="78">
        <f t="shared" si="0"/>
        <v>0</v>
      </c>
      <c r="V12" s="78">
        <f t="shared" si="1"/>
        <v>0</v>
      </c>
      <c r="W12" s="36">
        <f t="shared" si="2"/>
        <v>30</v>
      </c>
      <c r="X12" s="36">
        <f t="shared" si="3"/>
        <v>0</v>
      </c>
      <c r="Y12" s="40">
        <f>IF(B12="Public", 'synthèse v2'!$F$62/1000, IF(B12="Privé non lucratif",'synthèse v2'!$F$61/1000, IF(B12="Privé", 'synthèse v2'!$F$60/1000, "")))</f>
        <v>43.762959354365371</v>
      </c>
      <c r="Z12" s="40">
        <f t="shared" si="18"/>
        <v>21.881479677182686</v>
      </c>
      <c r="AA12" s="40">
        <f t="shared" si="4"/>
        <v>0</v>
      </c>
      <c r="AB12" s="40">
        <f t="shared" si="5"/>
        <v>0</v>
      </c>
      <c r="AC12" s="34">
        <f t="shared" si="6"/>
        <v>0</v>
      </c>
      <c r="AD12" s="34">
        <f t="shared" si="7"/>
        <v>0</v>
      </c>
      <c r="AE12" s="34">
        <f t="shared" si="8"/>
        <v>0</v>
      </c>
      <c r="AF12" s="36">
        <v>0</v>
      </c>
      <c r="AG12" s="36">
        <v>0</v>
      </c>
      <c r="AH12" s="39">
        <v>0</v>
      </c>
      <c r="AI12" s="39">
        <v>0</v>
      </c>
      <c r="AJ12" s="36">
        <f t="shared" si="9"/>
        <v>0</v>
      </c>
      <c r="AK12" s="36">
        <f t="shared" si="10"/>
        <v>0</v>
      </c>
      <c r="AL12" s="40"/>
      <c r="AM12" s="40"/>
      <c r="AN12" s="34">
        <f t="shared" si="11"/>
        <v>0</v>
      </c>
      <c r="AO12" s="34">
        <f t="shared" si="12"/>
        <v>0</v>
      </c>
      <c r="AP12" s="34">
        <f t="shared" si="13"/>
        <v>0</v>
      </c>
      <c r="AR12" s="34">
        <f t="shared" si="14"/>
        <v>0</v>
      </c>
      <c r="AS12" s="34"/>
      <c r="AT12" s="29">
        <f>+VLOOKUP(C12,dotpop24!$A$10:$K$178,11,0)</f>
        <v>1157496.6299999999</v>
      </c>
      <c r="AU12" s="29">
        <f t="shared" si="15"/>
        <v>38583.220999999998</v>
      </c>
      <c r="AV12" s="29">
        <f t="shared" si="19"/>
        <v>19291.610499999999</v>
      </c>
      <c r="AW12" s="29">
        <f t="shared" si="16"/>
        <v>0</v>
      </c>
    </row>
    <row r="13" spans="1:49">
      <c r="A13" s="1" t="s">
        <v>30</v>
      </c>
      <c r="B13" s="1" t="s">
        <v>30</v>
      </c>
      <c r="C13" s="97">
        <v>110780194</v>
      </c>
      <c r="D13" s="1" t="s">
        <v>38</v>
      </c>
      <c r="E13" s="1" t="s">
        <v>25</v>
      </c>
      <c r="F13" s="44">
        <v>23635</v>
      </c>
      <c r="G13" s="44">
        <v>23635</v>
      </c>
      <c r="H13" s="44">
        <v>0</v>
      </c>
      <c r="I13" s="45">
        <v>0.47099999999999997</v>
      </c>
      <c r="J13" s="45">
        <v>71.83</v>
      </c>
      <c r="K13" s="45">
        <v>12.04</v>
      </c>
      <c r="L13" s="45">
        <v>4.71</v>
      </c>
      <c r="M13" s="45">
        <v>0.98</v>
      </c>
      <c r="N13" s="35">
        <v>11</v>
      </c>
      <c r="O13" s="35" t="s">
        <v>26</v>
      </c>
      <c r="P13" s="35">
        <v>70</v>
      </c>
      <c r="Q13" s="35">
        <v>0</v>
      </c>
      <c r="R13" s="225">
        <f t="shared" si="17"/>
        <v>0.92504892367906066</v>
      </c>
      <c r="S13" s="225"/>
      <c r="T13" s="225"/>
      <c r="U13" s="78">
        <f t="shared" si="0"/>
        <v>0</v>
      </c>
      <c r="V13" s="78">
        <f t="shared" si="1"/>
        <v>0</v>
      </c>
      <c r="W13" s="36">
        <f t="shared" si="2"/>
        <v>70</v>
      </c>
      <c r="X13" s="36">
        <f t="shared" si="3"/>
        <v>0</v>
      </c>
      <c r="Y13" s="40">
        <f>IF(B13="Public", 'synthèse v2'!$F$62/1000, IF(B13="Privé non lucratif",'synthèse v2'!$F$61/1000, IF(B13="Privé", 'synthèse v2'!$F$60/1000, "")))</f>
        <v>26.522545062955601</v>
      </c>
      <c r="Z13" s="40">
        <f t="shared" si="18"/>
        <v>13.2612725314778</v>
      </c>
      <c r="AA13" s="40">
        <f t="shared" si="4"/>
        <v>0</v>
      </c>
      <c r="AB13" s="40">
        <f t="shared" si="5"/>
        <v>0</v>
      </c>
      <c r="AC13" s="34">
        <f t="shared" si="6"/>
        <v>0</v>
      </c>
      <c r="AD13" s="34">
        <f t="shared" si="7"/>
        <v>0</v>
      </c>
      <c r="AE13" s="34">
        <f t="shared" si="8"/>
        <v>0</v>
      </c>
      <c r="AF13" s="36">
        <v>0</v>
      </c>
      <c r="AG13" s="36">
        <v>0</v>
      </c>
      <c r="AH13" s="39">
        <v>0</v>
      </c>
      <c r="AI13" s="39">
        <v>0</v>
      </c>
      <c r="AJ13" s="36">
        <f t="shared" si="9"/>
        <v>0</v>
      </c>
      <c r="AK13" s="36">
        <f t="shared" si="10"/>
        <v>0</v>
      </c>
      <c r="AL13" s="40"/>
      <c r="AM13" s="40"/>
      <c r="AN13" s="34">
        <f t="shared" si="11"/>
        <v>0</v>
      </c>
      <c r="AO13" s="34">
        <f t="shared" si="12"/>
        <v>0</v>
      </c>
      <c r="AP13" s="34">
        <f t="shared" si="13"/>
        <v>0</v>
      </c>
      <c r="AR13" s="34">
        <f t="shared" si="14"/>
        <v>0</v>
      </c>
      <c r="AS13" s="34"/>
      <c r="AT13" s="29">
        <f>+VLOOKUP(C13,dotpop24!$A$10:$K$178,11,0)</f>
        <v>1742221.83</v>
      </c>
      <c r="AU13" s="29">
        <f t="shared" si="15"/>
        <v>24888.883285714288</v>
      </c>
      <c r="AV13" s="29">
        <f t="shared" si="19"/>
        <v>12444.441642857144</v>
      </c>
      <c r="AW13" s="29">
        <f t="shared" si="16"/>
        <v>0</v>
      </c>
    </row>
    <row r="14" spans="1:49">
      <c r="A14" s="1" t="s">
        <v>30</v>
      </c>
      <c r="B14" s="1" t="s">
        <v>30</v>
      </c>
      <c r="C14" s="97">
        <v>110780202</v>
      </c>
      <c r="D14" s="1" t="s">
        <v>39</v>
      </c>
      <c r="E14" s="1" t="s">
        <v>25</v>
      </c>
      <c r="F14" s="44">
        <v>35963</v>
      </c>
      <c r="G14" s="44">
        <v>30572</v>
      </c>
      <c r="H14" s="44">
        <v>5391</v>
      </c>
      <c r="I14" s="45">
        <v>0.373</v>
      </c>
      <c r="J14" s="45">
        <v>81.05</v>
      </c>
      <c r="K14" s="45">
        <v>10.66</v>
      </c>
      <c r="L14" s="45">
        <v>4.3</v>
      </c>
      <c r="M14" s="45">
        <v>1.67</v>
      </c>
      <c r="N14" s="35">
        <v>11</v>
      </c>
      <c r="O14" s="35" t="s">
        <v>26</v>
      </c>
      <c r="P14" s="35">
        <v>87</v>
      </c>
      <c r="Q14" s="35">
        <v>10</v>
      </c>
      <c r="R14" s="225">
        <f t="shared" si="17"/>
        <v>0.96274602424814992</v>
      </c>
      <c r="S14" s="225">
        <f>+H14/(Q14*365)</f>
        <v>1.476986301369863</v>
      </c>
      <c r="T14" s="225"/>
      <c r="U14" s="78">
        <f t="shared" si="0"/>
        <v>0</v>
      </c>
      <c r="V14" s="78">
        <f t="shared" si="1"/>
        <v>0</v>
      </c>
      <c r="W14" s="36">
        <f t="shared" si="2"/>
        <v>87</v>
      </c>
      <c r="X14" s="36">
        <f t="shared" si="3"/>
        <v>10</v>
      </c>
      <c r="Y14" s="40">
        <f>IF(B14="Public", 'synthèse v2'!$F$62/1000, IF(B14="Privé non lucratif",'synthèse v2'!$F$61/1000, IF(B14="Privé", 'synthèse v2'!$F$60/1000, "")))</f>
        <v>26.522545062955601</v>
      </c>
      <c r="Z14" s="40">
        <f t="shared" si="18"/>
        <v>13.2612725314778</v>
      </c>
      <c r="AA14" s="40">
        <f t="shared" si="4"/>
        <v>0</v>
      </c>
      <c r="AB14" s="40">
        <f t="shared" si="5"/>
        <v>0</v>
      </c>
      <c r="AC14" s="34">
        <f t="shared" si="6"/>
        <v>0</v>
      </c>
      <c r="AD14" s="34">
        <f t="shared" si="7"/>
        <v>0</v>
      </c>
      <c r="AE14" s="34">
        <f t="shared" si="8"/>
        <v>0</v>
      </c>
      <c r="AF14" s="36">
        <v>0</v>
      </c>
      <c r="AG14" s="36">
        <v>0</v>
      </c>
      <c r="AH14" s="39">
        <v>0</v>
      </c>
      <c r="AI14" s="39">
        <v>0</v>
      </c>
      <c r="AJ14" s="36">
        <f t="shared" si="9"/>
        <v>0</v>
      </c>
      <c r="AK14" s="36">
        <f t="shared" si="10"/>
        <v>0</v>
      </c>
      <c r="AL14" s="40"/>
      <c r="AM14" s="40"/>
      <c r="AN14" s="34">
        <f t="shared" si="11"/>
        <v>0</v>
      </c>
      <c r="AO14" s="34">
        <f t="shared" si="12"/>
        <v>0</v>
      </c>
      <c r="AP14" s="34">
        <f t="shared" si="13"/>
        <v>0</v>
      </c>
      <c r="AR14" s="34">
        <f t="shared" si="14"/>
        <v>0</v>
      </c>
      <c r="AS14" s="34"/>
      <c r="AT14" s="29">
        <f>+VLOOKUP(C14,dotpop24!$A$10:$K$178,11,0)</f>
        <v>2332225</v>
      </c>
      <c r="AU14" s="29">
        <f t="shared" si="15"/>
        <v>25350.271739130436</v>
      </c>
      <c r="AV14" s="29">
        <f t="shared" si="19"/>
        <v>12675.135869565218</v>
      </c>
      <c r="AW14" s="29">
        <f t="shared" si="16"/>
        <v>0</v>
      </c>
    </row>
    <row r="15" spans="1:49">
      <c r="A15" s="1" t="s">
        <v>30</v>
      </c>
      <c r="B15" s="1" t="s">
        <v>30</v>
      </c>
      <c r="C15" s="97">
        <v>110780228</v>
      </c>
      <c r="D15" s="1" t="s">
        <v>40</v>
      </c>
      <c r="E15" s="1" t="s">
        <v>25</v>
      </c>
      <c r="F15" s="44">
        <v>20557</v>
      </c>
      <c r="G15" s="44">
        <v>10442</v>
      </c>
      <c r="H15" s="44">
        <v>10115</v>
      </c>
      <c r="I15" s="45">
        <v>0.46400000000000002</v>
      </c>
      <c r="J15" s="45">
        <v>66.67</v>
      </c>
      <c r="K15" s="45">
        <v>5.4</v>
      </c>
      <c r="L15" s="45">
        <v>2.23</v>
      </c>
      <c r="M15" s="45">
        <v>3.41</v>
      </c>
      <c r="N15" s="35">
        <v>11</v>
      </c>
      <c r="O15" s="35" t="s">
        <v>26</v>
      </c>
      <c r="P15" s="35">
        <v>34</v>
      </c>
      <c r="Q15" s="35">
        <v>40</v>
      </c>
      <c r="R15" s="225">
        <f t="shared" si="17"/>
        <v>0.84141821112006443</v>
      </c>
      <c r="S15" s="225">
        <f>+H15/(Q15*365)</f>
        <v>0.69280821917808222</v>
      </c>
      <c r="T15" s="225"/>
      <c r="U15" s="78">
        <f t="shared" si="0"/>
        <v>1.9917808219178081</v>
      </c>
      <c r="V15" s="78">
        <f t="shared" si="1"/>
        <v>10.287671232876713</v>
      </c>
      <c r="W15" s="36">
        <f t="shared" si="2"/>
        <v>34</v>
      </c>
      <c r="X15" s="36">
        <f t="shared" si="3"/>
        <v>40</v>
      </c>
      <c r="Y15" s="40">
        <f>IF(B15="Public", 'synthèse v2'!$F$62/1000, IF(B15="Privé non lucratif",'synthèse v2'!$F$61/1000, IF(B15="Privé", 'synthèse v2'!$F$60/1000, "")))</f>
        <v>26.522545062955601</v>
      </c>
      <c r="Z15" s="40">
        <f t="shared" si="18"/>
        <v>13.2612725314778</v>
      </c>
      <c r="AA15" s="40">
        <f t="shared" si="4"/>
        <v>1.9917808219178081</v>
      </c>
      <c r="AB15" s="40">
        <f t="shared" si="5"/>
        <v>10.287671232876713</v>
      </c>
      <c r="AC15" s="34">
        <f t="shared" si="6"/>
        <v>52.827096604845813</v>
      </c>
      <c r="AD15" s="34">
        <f t="shared" si="7"/>
        <v>136.4276119334223</v>
      </c>
      <c r="AE15" s="34">
        <f t="shared" si="8"/>
        <v>189.25470853826812</v>
      </c>
      <c r="AF15" s="36">
        <v>0</v>
      </c>
      <c r="AG15" s="36">
        <v>0</v>
      </c>
      <c r="AH15" s="39">
        <v>0</v>
      </c>
      <c r="AI15" s="39">
        <v>0</v>
      </c>
      <c r="AJ15" s="36">
        <f t="shared" si="9"/>
        <v>0</v>
      </c>
      <c r="AK15" s="36">
        <f t="shared" si="10"/>
        <v>0</v>
      </c>
      <c r="AL15" s="40"/>
      <c r="AM15" s="40"/>
      <c r="AN15" s="34">
        <f t="shared" si="11"/>
        <v>0</v>
      </c>
      <c r="AO15" s="34">
        <f t="shared" si="12"/>
        <v>0</v>
      </c>
      <c r="AP15" s="34">
        <f t="shared" si="13"/>
        <v>0</v>
      </c>
      <c r="AR15" s="34">
        <f t="shared" si="14"/>
        <v>189.25470853826812</v>
      </c>
      <c r="AS15" s="34"/>
      <c r="AT15" s="29">
        <f>+VLOOKUP(C15,dotpop24!$A$10:$K$178,11,0)</f>
        <v>942310.57</v>
      </c>
      <c r="AU15" s="29">
        <f t="shared" si="15"/>
        <v>17450.195740740739</v>
      </c>
      <c r="AV15" s="29">
        <f t="shared" si="19"/>
        <v>8725.0978703703695</v>
      </c>
      <c r="AW15" s="29">
        <f t="shared" si="16"/>
        <v>124517.90358016235</v>
      </c>
    </row>
    <row r="16" spans="1:49">
      <c r="A16" s="1" t="s">
        <v>22</v>
      </c>
      <c r="B16" s="1" t="s">
        <v>23</v>
      </c>
      <c r="C16" s="97">
        <v>110780707</v>
      </c>
      <c r="D16" s="1" t="s">
        <v>41</v>
      </c>
      <c r="E16" s="1" t="s">
        <v>25</v>
      </c>
      <c r="F16" s="44">
        <v>14822</v>
      </c>
      <c r="G16" s="44">
        <v>14822</v>
      </c>
      <c r="H16" s="44">
        <v>0</v>
      </c>
      <c r="I16" s="45">
        <v>0.38500000000000001</v>
      </c>
      <c r="J16" s="45">
        <v>73.430000000000007</v>
      </c>
      <c r="K16" s="45">
        <v>9.66</v>
      </c>
      <c r="L16" s="45">
        <v>3.59</v>
      </c>
      <c r="M16" s="45">
        <v>4</v>
      </c>
      <c r="N16" s="35">
        <v>11</v>
      </c>
      <c r="O16" s="35" t="s">
        <v>26</v>
      </c>
      <c r="P16" s="35">
        <v>44</v>
      </c>
      <c r="Q16" s="35">
        <v>0</v>
      </c>
      <c r="R16" s="225">
        <f t="shared" si="17"/>
        <v>0.92291407222914068</v>
      </c>
      <c r="S16" s="225"/>
      <c r="T16" s="225"/>
      <c r="U16" s="78">
        <f t="shared" si="0"/>
        <v>0</v>
      </c>
      <c r="V16" s="78">
        <f t="shared" si="1"/>
        <v>0</v>
      </c>
      <c r="W16" s="36">
        <f t="shared" si="2"/>
        <v>44</v>
      </c>
      <c r="X16" s="36">
        <f t="shared" si="3"/>
        <v>0</v>
      </c>
      <c r="Y16" s="40">
        <f>IF(B16="Public", 'synthèse v2'!$F$62/1000, IF(B16="Privé non lucratif",'synthèse v2'!$F$61/1000, IF(B16="Privé", 'synthèse v2'!$F$60/1000, "")))</f>
        <v>43.762959354365371</v>
      </c>
      <c r="Z16" s="40">
        <f t="shared" si="18"/>
        <v>21.881479677182686</v>
      </c>
      <c r="AA16" s="40">
        <f t="shared" si="4"/>
        <v>0</v>
      </c>
      <c r="AB16" s="40">
        <f t="shared" si="5"/>
        <v>0</v>
      </c>
      <c r="AC16" s="34">
        <f t="shared" si="6"/>
        <v>0</v>
      </c>
      <c r="AD16" s="34">
        <f t="shared" si="7"/>
        <v>0</v>
      </c>
      <c r="AE16" s="34">
        <f t="shared" si="8"/>
        <v>0</v>
      </c>
      <c r="AF16" s="36">
        <v>0</v>
      </c>
      <c r="AG16" s="36">
        <v>0</v>
      </c>
      <c r="AH16" s="39">
        <v>0</v>
      </c>
      <c r="AI16" s="39">
        <v>0</v>
      </c>
      <c r="AJ16" s="36">
        <f t="shared" si="9"/>
        <v>0</v>
      </c>
      <c r="AK16" s="36">
        <f t="shared" si="10"/>
        <v>0</v>
      </c>
      <c r="AL16" s="40"/>
      <c r="AM16" s="40"/>
      <c r="AN16" s="34">
        <f t="shared" si="11"/>
        <v>0</v>
      </c>
      <c r="AO16" s="34">
        <f t="shared" si="12"/>
        <v>0</v>
      </c>
      <c r="AP16" s="34">
        <f t="shared" si="13"/>
        <v>0</v>
      </c>
      <c r="AR16" s="34">
        <f t="shared" si="14"/>
        <v>0</v>
      </c>
      <c r="AS16" s="34"/>
      <c r="AT16" s="29">
        <f>+VLOOKUP(C16,dotpop24!$A$10:$K$178,11,0)</f>
        <v>1754587.88</v>
      </c>
      <c r="AU16" s="29">
        <f t="shared" si="15"/>
        <v>39876.997272727269</v>
      </c>
      <c r="AV16" s="29">
        <f t="shared" si="19"/>
        <v>19938.498636363634</v>
      </c>
      <c r="AW16" s="29">
        <f t="shared" si="16"/>
        <v>0</v>
      </c>
    </row>
    <row r="17" spans="1:49">
      <c r="A17" s="1" t="s">
        <v>22</v>
      </c>
      <c r="B17" s="1" t="s">
        <v>23</v>
      </c>
      <c r="C17" s="97">
        <v>110780772</v>
      </c>
      <c r="D17" s="1" t="s">
        <v>42</v>
      </c>
      <c r="E17" s="1" t="s">
        <v>25</v>
      </c>
      <c r="F17" s="44">
        <v>12252</v>
      </c>
      <c r="G17" s="44">
        <v>12252</v>
      </c>
      <c r="H17" s="44">
        <v>0</v>
      </c>
      <c r="I17" s="45">
        <v>0.4</v>
      </c>
      <c r="J17" s="45">
        <v>77.55</v>
      </c>
      <c r="K17" s="45">
        <v>11.42</v>
      </c>
      <c r="L17" s="45">
        <v>4.29</v>
      </c>
      <c r="M17" s="45">
        <v>0.87</v>
      </c>
      <c r="N17" s="35">
        <v>11</v>
      </c>
      <c r="O17" s="35" t="s">
        <v>26</v>
      </c>
      <c r="P17" s="35">
        <v>37</v>
      </c>
      <c r="Q17" s="35">
        <v>0</v>
      </c>
      <c r="R17" s="225">
        <f t="shared" si="17"/>
        <v>0.90721954831543872</v>
      </c>
      <c r="S17" s="225"/>
      <c r="T17" s="225"/>
      <c r="U17" s="78">
        <f t="shared" si="0"/>
        <v>0</v>
      </c>
      <c r="V17" s="78">
        <f t="shared" si="1"/>
        <v>0</v>
      </c>
      <c r="W17" s="36">
        <f t="shared" si="2"/>
        <v>37</v>
      </c>
      <c r="X17" s="36">
        <f t="shared" si="3"/>
        <v>0</v>
      </c>
      <c r="Y17" s="40">
        <f>IF(B17="Public", 'synthèse v2'!$F$62/1000, IF(B17="Privé non lucratif",'synthèse v2'!$F$61/1000, IF(B17="Privé", 'synthèse v2'!$F$60/1000, "")))</f>
        <v>43.762959354365371</v>
      </c>
      <c r="Z17" s="40">
        <f t="shared" si="18"/>
        <v>21.881479677182686</v>
      </c>
      <c r="AA17" s="40">
        <f t="shared" si="4"/>
        <v>0</v>
      </c>
      <c r="AB17" s="40">
        <f t="shared" si="5"/>
        <v>0</v>
      </c>
      <c r="AC17" s="34">
        <f t="shared" si="6"/>
        <v>0</v>
      </c>
      <c r="AD17" s="34">
        <f t="shared" si="7"/>
        <v>0</v>
      </c>
      <c r="AE17" s="34">
        <f t="shared" si="8"/>
        <v>0</v>
      </c>
      <c r="AF17" s="36">
        <v>0</v>
      </c>
      <c r="AG17" s="36">
        <v>0</v>
      </c>
      <c r="AH17" s="39">
        <v>0</v>
      </c>
      <c r="AI17" s="39">
        <v>0</v>
      </c>
      <c r="AJ17" s="36">
        <f t="shared" si="9"/>
        <v>0</v>
      </c>
      <c r="AK17" s="36">
        <f t="shared" si="10"/>
        <v>0</v>
      </c>
      <c r="AL17" s="40"/>
      <c r="AM17" s="40"/>
      <c r="AN17" s="34">
        <f t="shared" si="11"/>
        <v>0</v>
      </c>
      <c r="AO17" s="34">
        <f t="shared" si="12"/>
        <v>0</v>
      </c>
      <c r="AP17" s="34">
        <f t="shared" si="13"/>
        <v>0</v>
      </c>
      <c r="AR17" s="34">
        <f t="shared" si="14"/>
        <v>0</v>
      </c>
      <c r="AS17" s="34"/>
      <c r="AT17" s="29">
        <f>+VLOOKUP(C17,dotpop24!$A$10:$K$178,11,0)</f>
        <v>1295997.8500000001</v>
      </c>
      <c r="AU17" s="29">
        <f t="shared" si="15"/>
        <v>35026.968918918923</v>
      </c>
      <c r="AV17" s="29">
        <f t="shared" si="19"/>
        <v>17513.484459459462</v>
      </c>
      <c r="AW17" s="29">
        <f t="shared" si="16"/>
        <v>0</v>
      </c>
    </row>
    <row r="18" spans="1:49">
      <c r="A18" s="1" t="s">
        <v>22</v>
      </c>
      <c r="B18" s="1" t="s">
        <v>23</v>
      </c>
      <c r="C18" s="97">
        <v>110781010</v>
      </c>
      <c r="D18" s="1" t="s">
        <v>43</v>
      </c>
      <c r="E18" s="1" t="s">
        <v>25</v>
      </c>
      <c r="F18" s="44">
        <v>15129</v>
      </c>
      <c r="G18" s="44">
        <v>11504</v>
      </c>
      <c r="H18" s="44">
        <v>3625</v>
      </c>
      <c r="I18" s="45">
        <v>0.47199999999999998</v>
      </c>
      <c r="J18" s="45">
        <v>67.11</v>
      </c>
      <c r="K18" s="45">
        <v>7.02</v>
      </c>
      <c r="L18" s="45">
        <v>2.46</v>
      </c>
      <c r="M18" s="45">
        <v>7.29</v>
      </c>
      <c r="N18" s="35">
        <v>11</v>
      </c>
      <c r="O18" s="35" t="s">
        <v>26</v>
      </c>
      <c r="P18" s="35">
        <v>40</v>
      </c>
      <c r="Q18" s="35">
        <v>10</v>
      </c>
      <c r="R18" s="225">
        <f t="shared" si="17"/>
        <v>0.78794520547945202</v>
      </c>
      <c r="S18" s="225">
        <f>+H18/(Q18*365)</f>
        <v>0.99315068493150682</v>
      </c>
      <c r="T18" s="225"/>
      <c r="U18" s="78">
        <f t="shared" si="0"/>
        <v>4.4821917808219176</v>
      </c>
      <c r="V18" s="78">
        <f t="shared" si="1"/>
        <v>0</v>
      </c>
      <c r="W18" s="36">
        <f t="shared" si="2"/>
        <v>40</v>
      </c>
      <c r="X18" s="36">
        <f t="shared" si="3"/>
        <v>10</v>
      </c>
      <c r="Y18" s="40">
        <f>IF(B18="Public", 'synthèse v2'!$F$62/1000, IF(B18="Privé non lucratif",'synthèse v2'!$F$61/1000, IF(B18="Privé", 'synthèse v2'!$F$60/1000, "")))</f>
        <v>43.762959354365371</v>
      </c>
      <c r="Z18" s="40">
        <f t="shared" si="18"/>
        <v>21.881479677182686</v>
      </c>
      <c r="AA18" s="40">
        <f t="shared" si="4"/>
        <v>4.4821917808219176</v>
      </c>
      <c r="AB18" s="40">
        <f t="shared" si="5"/>
        <v>0</v>
      </c>
      <c r="AC18" s="34">
        <f t="shared" si="6"/>
        <v>196.15397672258013</v>
      </c>
      <c r="AD18" s="34">
        <f t="shared" si="7"/>
        <v>0</v>
      </c>
      <c r="AE18" s="34">
        <f t="shared" si="8"/>
        <v>196.15397672258013</v>
      </c>
      <c r="AF18" s="36">
        <v>0</v>
      </c>
      <c r="AG18" s="36">
        <v>0</v>
      </c>
      <c r="AH18" s="39">
        <v>0</v>
      </c>
      <c r="AI18" s="39">
        <v>0</v>
      </c>
      <c r="AJ18" s="36">
        <f t="shared" si="9"/>
        <v>0</v>
      </c>
      <c r="AK18" s="36">
        <f t="shared" si="10"/>
        <v>0</v>
      </c>
      <c r="AL18" s="40"/>
      <c r="AM18" s="40"/>
      <c r="AN18" s="34">
        <f t="shared" si="11"/>
        <v>0</v>
      </c>
      <c r="AO18" s="34">
        <f t="shared" si="12"/>
        <v>0</v>
      </c>
      <c r="AP18" s="34">
        <f t="shared" si="13"/>
        <v>0</v>
      </c>
      <c r="AR18" s="34">
        <f t="shared" si="14"/>
        <v>196.15397672258013</v>
      </c>
      <c r="AS18" s="34"/>
      <c r="AT18" s="29">
        <f>+VLOOKUP(C18,dotpop24!$A$10:$K$178,11,0)</f>
        <v>1518979.46</v>
      </c>
      <c r="AU18" s="29">
        <f t="shared" si="15"/>
        <v>33755.099111111107</v>
      </c>
      <c r="AV18" s="29">
        <f t="shared" si="19"/>
        <v>16877.549555555554</v>
      </c>
      <c r="AW18" s="29">
        <f t="shared" si="16"/>
        <v>151296.82779665143</v>
      </c>
    </row>
    <row r="19" spans="1:49">
      <c r="A19" s="1" t="s">
        <v>33</v>
      </c>
      <c r="B19" s="1" t="s">
        <v>34</v>
      </c>
      <c r="C19" s="97">
        <v>110786324</v>
      </c>
      <c r="D19" s="1" t="s">
        <v>44</v>
      </c>
      <c r="E19" s="1" t="s">
        <v>25</v>
      </c>
      <c r="F19" s="44">
        <v>15961</v>
      </c>
      <c r="G19" s="44">
        <v>14522</v>
      </c>
      <c r="H19" s="44">
        <v>1439</v>
      </c>
      <c r="I19" s="45">
        <v>0.39</v>
      </c>
      <c r="J19" s="45">
        <v>81.22</v>
      </c>
      <c r="K19" s="45">
        <v>12.06</v>
      </c>
      <c r="L19" s="45">
        <v>6.53</v>
      </c>
      <c r="M19" s="45">
        <v>2.0099999999999998</v>
      </c>
      <c r="N19" s="35">
        <v>11</v>
      </c>
      <c r="O19" s="35" t="s">
        <v>26</v>
      </c>
      <c r="P19" s="19">
        <f>214-170</f>
        <v>44</v>
      </c>
      <c r="Q19" s="19">
        <f>51-45</f>
        <v>6</v>
      </c>
      <c r="R19" s="225">
        <f t="shared" si="17"/>
        <v>0.90423412204234122</v>
      </c>
      <c r="S19" s="225">
        <f>+H19/(Q19*365)</f>
        <v>0.6570776255707762</v>
      </c>
      <c r="T19" s="226" t="s">
        <v>661</v>
      </c>
      <c r="U19" s="78">
        <f t="shared" si="0"/>
        <v>0</v>
      </c>
      <c r="V19" s="78">
        <f t="shared" si="1"/>
        <v>1.7575342465753432</v>
      </c>
      <c r="W19" s="36">
        <f t="shared" si="2"/>
        <v>44</v>
      </c>
      <c r="X19" s="36">
        <f t="shared" si="3"/>
        <v>6</v>
      </c>
      <c r="Y19" s="40">
        <f>IF(B19="Public", 'synthèse v2'!$F$62/1000, IF(B19="Privé non lucratif",'synthèse v2'!$F$61/1000, IF(B19="Privé", 'synthèse v2'!$F$60/1000, "")))</f>
        <v>36.984345997610518</v>
      </c>
      <c r="Z19" s="40">
        <f t="shared" si="18"/>
        <v>18.492172998805259</v>
      </c>
      <c r="AA19" s="40">
        <f t="shared" si="4"/>
        <v>0</v>
      </c>
      <c r="AB19" s="40">
        <f t="shared" si="5"/>
        <v>1.7575342465753432</v>
      </c>
      <c r="AC19" s="34">
        <f t="shared" si="6"/>
        <v>0</v>
      </c>
      <c r="AD19" s="34">
        <f t="shared" si="7"/>
        <v>32.500627338996104</v>
      </c>
      <c r="AE19" s="34">
        <f t="shared" si="8"/>
        <v>32.500627338996104</v>
      </c>
      <c r="AF19" s="36">
        <v>0</v>
      </c>
      <c r="AG19" s="36">
        <v>0</v>
      </c>
      <c r="AH19" s="39">
        <v>0</v>
      </c>
      <c r="AI19" s="39">
        <v>0</v>
      </c>
      <c r="AJ19" s="36">
        <f t="shared" si="9"/>
        <v>0</v>
      </c>
      <c r="AK19" s="36">
        <f t="shared" si="10"/>
        <v>0</v>
      </c>
      <c r="AL19" s="40"/>
      <c r="AM19" s="40"/>
      <c r="AN19" s="34">
        <f t="shared" si="11"/>
        <v>0</v>
      </c>
      <c r="AO19" s="34">
        <f t="shared" si="12"/>
        <v>0</v>
      </c>
      <c r="AP19" s="34">
        <f t="shared" si="13"/>
        <v>0</v>
      </c>
      <c r="AR19" s="34">
        <f t="shared" si="14"/>
        <v>32.500627338996104</v>
      </c>
      <c r="AS19" s="34"/>
      <c r="AT19" s="29">
        <f>+VLOOKUP(C19,dotpop24!$A$10:$K$178,11,0)</f>
        <v>1860561.52</v>
      </c>
      <c r="AU19" s="29">
        <f t="shared" si="15"/>
        <v>39586.415319148939</v>
      </c>
      <c r="AV19" s="29">
        <f t="shared" si="19"/>
        <v>19793.207659574469</v>
      </c>
      <c r="AW19" s="29">
        <f t="shared" si="16"/>
        <v>34787.240311279529</v>
      </c>
    </row>
    <row r="20" spans="1:49">
      <c r="A20" s="1" t="s">
        <v>22</v>
      </c>
      <c r="B20" s="1" t="s">
        <v>23</v>
      </c>
      <c r="C20" s="97">
        <v>120004528</v>
      </c>
      <c r="D20" s="1" t="s">
        <v>45</v>
      </c>
      <c r="E20" s="1" t="s">
        <v>25</v>
      </c>
      <c r="F20" s="44">
        <v>10482</v>
      </c>
      <c r="G20" s="44">
        <v>10482</v>
      </c>
      <c r="H20" s="44">
        <v>0</v>
      </c>
      <c r="I20" s="45">
        <v>0.40400000000000003</v>
      </c>
      <c r="J20" s="45">
        <v>82.45</v>
      </c>
      <c r="K20" s="45">
        <v>10.130000000000001</v>
      </c>
      <c r="L20" s="45">
        <v>3.89</v>
      </c>
      <c r="M20" s="45">
        <v>2.0099999999999998</v>
      </c>
      <c r="N20" s="35">
        <v>12</v>
      </c>
      <c r="O20" s="35" t="s">
        <v>26</v>
      </c>
      <c r="P20" s="35">
        <v>30</v>
      </c>
      <c r="Q20" s="35">
        <v>0</v>
      </c>
      <c r="R20" s="225">
        <f t="shared" si="17"/>
        <v>0.95726027397260272</v>
      </c>
      <c r="S20" s="225"/>
      <c r="T20" s="225"/>
      <c r="U20" s="78">
        <f t="shared" si="0"/>
        <v>0</v>
      </c>
      <c r="V20" s="78">
        <f t="shared" si="1"/>
        <v>0</v>
      </c>
      <c r="W20" s="36">
        <f t="shared" si="2"/>
        <v>30</v>
      </c>
      <c r="X20" s="36">
        <f t="shared" si="3"/>
        <v>0</v>
      </c>
      <c r="Y20" s="40">
        <f>IF(B20="Public", 'synthèse v2'!$F$62/1000, IF(B20="Privé non lucratif",'synthèse v2'!$F$61/1000, IF(B20="Privé", 'synthèse v2'!$F$60/1000, "")))</f>
        <v>43.762959354365371</v>
      </c>
      <c r="Z20" s="40">
        <f t="shared" si="18"/>
        <v>21.881479677182686</v>
      </c>
      <c r="AA20" s="40">
        <f t="shared" si="4"/>
        <v>0</v>
      </c>
      <c r="AB20" s="40">
        <f t="shared" si="5"/>
        <v>0</v>
      </c>
      <c r="AC20" s="34">
        <f t="shared" si="6"/>
        <v>0</v>
      </c>
      <c r="AD20" s="34">
        <f t="shared" si="7"/>
        <v>0</v>
      </c>
      <c r="AE20" s="34">
        <f t="shared" si="8"/>
        <v>0</v>
      </c>
      <c r="AF20" s="36">
        <v>0</v>
      </c>
      <c r="AG20" s="36">
        <v>0</v>
      </c>
      <c r="AH20" s="39">
        <v>0</v>
      </c>
      <c r="AI20" s="39">
        <v>0</v>
      </c>
      <c r="AJ20" s="36">
        <f t="shared" si="9"/>
        <v>0</v>
      </c>
      <c r="AK20" s="36">
        <f t="shared" si="10"/>
        <v>0</v>
      </c>
      <c r="AL20" s="40"/>
      <c r="AM20" s="40"/>
      <c r="AN20" s="34">
        <f t="shared" si="11"/>
        <v>0</v>
      </c>
      <c r="AO20" s="34">
        <f t="shared" si="12"/>
        <v>0</v>
      </c>
      <c r="AP20" s="34">
        <f t="shared" si="13"/>
        <v>0</v>
      </c>
      <c r="AR20" s="34">
        <f t="shared" si="14"/>
        <v>0</v>
      </c>
      <c r="AS20" s="34"/>
      <c r="AT20" s="29">
        <f>+VLOOKUP(C20,dotpop24!$A$10:$K$178,11,0)</f>
        <v>1786361.24</v>
      </c>
      <c r="AU20" s="29">
        <f t="shared" si="15"/>
        <v>59545.374666666663</v>
      </c>
      <c r="AV20" s="29">
        <f t="shared" si="19"/>
        <v>29772.687333333331</v>
      </c>
      <c r="AW20" s="29">
        <f t="shared" si="16"/>
        <v>0</v>
      </c>
    </row>
    <row r="21" spans="1:49">
      <c r="A21" s="1" t="s">
        <v>22</v>
      </c>
      <c r="B21" s="1" t="s">
        <v>23</v>
      </c>
      <c r="C21" s="97">
        <v>120004619</v>
      </c>
      <c r="D21" s="1" t="s">
        <v>46</v>
      </c>
      <c r="E21" s="1" t="s">
        <v>25</v>
      </c>
      <c r="F21" s="44">
        <v>3263</v>
      </c>
      <c r="G21" s="44">
        <v>3263</v>
      </c>
      <c r="H21" s="44">
        <v>0</v>
      </c>
      <c r="I21" s="45">
        <v>0.48499999999999999</v>
      </c>
      <c r="J21" s="45">
        <v>82.74</v>
      </c>
      <c r="K21" s="45">
        <v>10.96</v>
      </c>
      <c r="L21" s="45">
        <v>3.42</v>
      </c>
      <c r="M21" s="45">
        <v>1.07</v>
      </c>
      <c r="N21" s="35">
        <v>12</v>
      </c>
      <c r="O21" s="35" t="s">
        <v>26</v>
      </c>
      <c r="P21" s="35">
        <v>30</v>
      </c>
      <c r="Q21" s="35">
        <v>0</v>
      </c>
      <c r="R21" s="225">
        <f t="shared" si="17"/>
        <v>0.29799086757990867</v>
      </c>
      <c r="S21" s="225"/>
      <c r="T21" s="225"/>
      <c r="U21" s="78">
        <f t="shared" si="0"/>
        <v>18.06027397260274</v>
      </c>
      <c r="V21" s="78">
        <f t="shared" si="1"/>
        <v>0</v>
      </c>
      <c r="W21" s="36">
        <f t="shared" si="2"/>
        <v>30</v>
      </c>
      <c r="X21" s="36">
        <f t="shared" si="3"/>
        <v>0</v>
      </c>
      <c r="Y21" s="40">
        <f>IF(B21="Public", 'synthèse v2'!$F$62/1000, IF(B21="Privé non lucratif",'synthèse v2'!$F$61/1000, IF(B21="Privé", 'synthèse v2'!$F$60/1000, "")))</f>
        <v>43.762959354365371</v>
      </c>
      <c r="Z21" s="40">
        <f t="shared" si="18"/>
        <v>21.881479677182686</v>
      </c>
      <c r="AA21" s="40">
        <f t="shared" si="4"/>
        <v>18.06027397260274</v>
      </c>
      <c r="AB21" s="40">
        <f t="shared" si="5"/>
        <v>0</v>
      </c>
      <c r="AC21" s="34">
        <f t="shared" si="6"/>
        <v>790.37103579171651</v>
      </c>
      <c r="AD21" s="34">
        <f t="shared" si="7"/>
        <v>0</v>
      </c>
      <c r="AE21" s="34">
        <f t="shared" si="8"/>
        <v>790.37103579171651</v>
      </c>
      <c r="AF21" s="36">
        <v>0</v>
      </c>
      <c r="AG21" s="36">
        <v>0</v>
      </c>
      <c r="AH21" s="39">
        <v>0</v>
      </c>
      <c r="AI21" s="39">
        <v>0</v>
      </c>
      <c r="AJ21" s="36">
        <f t="shared" si="9"/>
        <v>0</v>
      </c>
      <c r="AK21" s="36">
        <f t="shared" si="10"/>
        <v>0</v>
      </c>
      <c r="AL21" s="40"/>
      <c r="AM21" s="40"/>
      <c r="AN21" s="34">
        <f t="shared" si="11"/>
        <v>0</v>
      </c>
      <c r="AO21" s="34">
        <f t="shared" si="12"/>
        <v>0</v>
      </c>
      <c r="AP21" s="34">
        <f t="shared" si="13"/>
        <v>0</v>
      </c>
      <c r="AR21" s="34">
        <f t="shared" si="14"/>
        <v>790.37103579171651</v>
      </c>
      <c r="AS21" s="34"/>
      <c r="AT21" s="29">
        <f>+VLOOKUP(C21,dotpop24!$A$10:$K$178,11,0)</f>
        <v>1285924.06</v>
      </c>
      <c r="AU21" s="29">
        <f t="shared" si="15"/>
        <v>42864.135333333332</v>
      </c>
      <c r="AV21" s="29">
        <f t="shared" si="19"/>
        <v>21432.067666666666</v>
      </c>
      <c r="AW21" s="29">
        <f t="shared" si="16"/>
        <v>774138.02771872142</v>
      </c>
    </row>
    <row r="22" spans="1:49">
      <c r="A22" s="1" t="s">
        <v>22</v>
      </c>
      <c r="B22" s="1" t="s">
        <v>23</v>
      </c>
      <c r="C22" s="97">
        <v>120780044</v>
      </c>
      <c r="D22" s="1" t="s">
        <v>47</v>
      </c>
      <c r="E22" s="1" t="s">
        <v>25</v>
      </c>
      <c r="F22" s="44">
        <v>10952</v>
      </c>
      <c r="G22" s="44">
        <v>10952</v>
      </c>
      <c r="H22" s="44">
        <v>0</v>
      </c>
      <c r="I22" s="45">
        <v>0.43099999999999999</v>
      </c>
      <c r="J22" s="45">
        <v>80.650000000000006</v>
      </c>
      <c r="K22" s="45">
        <v>11.21</v>
      </c>
      <c r="L22" s="45">
        <v>3.73</v>
      </c>
      <c r="M22" s="45">
        <v>1.1599999999999999</v>
      </c>
      <c r="N22" s="35">
        <v>12</v>
      </c>
      <c r="O22" s="35" t="s">
        <v>26</v>
      </c>
      <c r="P22" s="35">
        <v>40</v>
      </c>
      <c r="Q22" s="35">
        <v>0</v>
      </c>
      <c r="R22" s="225">
        <f t="shared" si="17"/>
        <v>0.75013698630136982</v>
      </c>
      <c r="S22" s="225"/>
      <c r="T22" s="225"/>
      <c r="U22" s="78">
        <f t="shared" si="0"/>
        <v>5.9945205479452053</v>
      </c>
      <c r="V22" s="78">
        <f t="shared" si="1"/>
        <v>0</v>
      </c>
      <c r="W22" s="36">
        <f t="shared" si="2"/>
        <v>40</v>
      </c>
      <c r="X22" s="36">
        <f t="shared" si="3"/>
        <v>0</v>
      </c>
      <c r="Y22" s="40">
        <f>IF(B22="Public", 'synthèse v2'!$F$62/1000, IF(B22="Privé non lucratif",'synthèse v2'!$F$61/1000, IF(B22="Privé", 'synthèse v2'!$F$60/1000, "")))</f>
        <v>43.762959354365371</v>
      </c>
      <c r="Z22" s="40">
        <f t="shared" si="18"/>
        <v>21.881479677182686</v>
      </c>
      <c r="AA22" s="40">
        <f t="shared" si="4"/>
        <v>5.9945205479452053</v>
      </c>
      <c r="AB22" s="40">
        <f t="shared" si="5"/>
        <v>0</v>
      </c>
      <c r="AC22" s="34">
        <f t="shared" si="6"/>
        <v>262.33795908863408</v>
      </c>
      <c r="AD22" s="34">
        <f t="shared" si="7"/>
        <v>0</v>
      </c>
      <c r="AE22" s="34">
        <f t="shared" si="8"/>
        <v>262.33795908863408</v>
      </c>
      <c r="AF22" s="36">
        <v>0</v>
      </c>
      <c r="AG22" s="36">
        <v>0</v>
      </c>
      <c r="AH22" s="39">
        <v>0</v>
      </c>
      <c r="AI22" s="39">
        <v>0</v>
      </c>
      <c r="AJ22" s="36">
        <f t="shared" si="9"/>
        <v>0</v>
      </c>
      <c r="AK22" s="36">
        <f t="shared" si="10"/>
        <v>0</v>
      </c>
      <c r="AL22" s="40"/>
      <c r="AM22" s="40"/>
      <c r="AN22" s="34">
        <f t="shared" si="11"/>
        <v>0</v>
      </c>
      <c r="AO22" s="34">
        <f t="shared" si="12"/>
        <v>0</v>
      </c>
      <c r="AP22" s="34">
        <f t="shared" si="13"/>
        <v>0</v>
      </c>
      <c r="AR22" s="34">
        <f t="shared" si="14"/>
        <v>262.33795908863408</v>
      </c>
      <c r="AS22" s="34"/>
      <c r="AT22" s="29">
        <f>+VLOOKUP(C22,dotpop24!$A$10:$K$178,11,0)</f>
        <v>1717799.37</v>
      </c>
      <c r="AU22" s="29">
        <f t="shared" si="15"/>
        <v>42944.984250000001</v>
      </c>
      <c r="AV22" s="29">
        <f t="shared" si="19"/>
        <v>21472.492125000001</v>
      </c>
      <c r="AW22" s="29">
        <f t="shared" si="16"/>
        <v>257434.59051780822</v>
      </c>
    </row>
    <row r="23" spans="1:49">
      <c r="A23" s="1" t="s">
        <v>22</v>
      </c>
      <c r="B23" s="1" t="s">
        <v>23</v>
      </c>
      <c r="C23" s="97">
        <v>120780069</v>
      </c>
      <c r="D23" s="1" t="s">
        <v>48</v>
      </c>
      <c r="E23" s="1" t="s">
        <v>25</v>
      </c>
      <c r="F23" s="44">
        <v>9923</v>
      </c>
      <c r="G23" s="44">
        <v>9923</v>
      </c>
      <c r="H23" s="44">
        <v>0</v>
      </c>
      <c r="I23" s="45">
        <v>0.4</v>
      </c>
      <c r="J23" s="45">
        <v>81.010000000000005</v>
      </c>
      <c r="K23" s="45">
        <v>10.8</v>
      </c>
      <c r="L23" s="45">
        <v>2.69</v>
      </c>
      <c r="M23" s="45">
        <v>1.5</v>
      </c>
      <c r="N23" s="35">
        <v>12</v>
      </c>
      <c r="O23" s="35" t="s">
        <v>26</v>
      </c>
      <c r="P23" s="35">
        <v>29</v>
      </c>
      <c r="Q23" s="35">
        <v>0</v>
      </c>
      <c r="R23" s="225">
        <f t="shared" si="17"/>
        <v>0.93745866792631083</v>
      </c>
      <c r="S23" s="225"/>
      <c r="T23" s="225"/>
      <c r="U23" s="78">
        <f t="shared" si="0"/>
        <v>0</v>
      </c>
      <c r="V23" s="78">
        <f t="shared" si="1"/>
        <v>0</v>
      </c>
      <c r="W23" s="36">
        <f t="shared" si="2"/>
        <v>29</v>
      </c>
      <c r="X23" s="36">
        <f t="shared" si="3"/>
        <v>0</v>
      </c>
      <c r="Y23" s="40">
        <f>IF(B23="Public", 'synthèse v2'!$F$62/1000, IF(B23="Privé non lucratif",'synthèse v2'!$F$61/1000, IF(B23="Privé", 'synthèse v2'!$F$60/1000, "")))</f>
        <v>43.762959354365371</v>
      </c>
      <c r="Z23" s="40">
        <f t="shared" si="18"/>
        <v>21.881479677182686</v>
      </c>
      <c r="AA23" s="40">
        <f t="shared" si="4"/>
        <v>0</v>
      </c>
      <c r="AB23" s="40">
        <f t="shared" si="5"/>
        <v>0</v>
      </c>
      <c r="AC23" s="34">
        <f t="shared" si="6"/>
        <v>0</v>
      </c>
      <c r="AD23" s="34">
        <f t="shared" si="7"/>
        <v>0</v>
      </c>
      <c r="AE23" s="34">
        <f t="shared" si="8"/>
        <v>0</v>
      </c>
      <c r="AF23" s="36">
        <v>0</v>
      </c>
      <c r="AG23" s="36">
        <v>0</v>
      </c>
      <c r="AH23" s="39">
        <v>0</v>
      </c>
      <c r="AI23" s="39">
        <v>0</v>
      </c>
      <c r="AJ23" s="36">
        <f t="shared" si="9"/>
        <v>0</v>
      </c>
      <c r="AK23" s="36">
        <f t="shared" si="10"/>
        <v>0</v>
      </c>
      <c r="AL23" s="40"/>
      <c r="AM23" s="40"/>
      <c r="AN23" s="34">
        <f t="shared" si="11"/>
        <v>0</v>
      </c>
      <c r="AO23" s="34">
        <f t="shared" si="12"/>
        <v>0</v>
      </c>
      <c r="AP23" s="34">
        <f t="shared" si="13"/>
        <v>0</v>
      </c>
      <c r="AR23" s="34">
        <f t="shared" si="14"/>
        <v>0</v>
      </c>
      <c r="AS23" s="34"/>
      <c r="AT23" s="29">
        <f>+VLOOKUP(C23,dotpop24!$A$10:$K$178,11,0)</f>
        <v>1618599.28</v>
      </c>
      <c r="AU23" s="29">
        <f t="shared" si="15"/>
        <v>55813.768275862072</v>
      </c>
      <c r="AV23" s="29">
        <f t="shared" si="19"/>
        <v>27906.884137931036</v>
      </c>
      <c r="AW23" s="29">
        <f t="shared" si="16"/>
        <v>0</v>
      </c>
    </row>
    <row r="24" spans="1:49">
      <c r="A24" s="1" t="s">
        <v>22</v>
      </c>
      <c r="B24" s="1" t="s">
        <v>23</v>
      </c>
      <c r="C24" s="97">
        <v>120780085</v>
      </c>
      <c r="D24" s="1" t="s">
        <v>49</v>
      </c>
      <c r="E24" s="1" t="s">
        <v>25</v>
      </c>
      <c r="F24" s="44">
        <v>6957</v>
      </c>
      <c r="G24" s="44">
        <v>6957</v>
      </c>
      <c r="H24" s="44">
        <v>0</v>
      </c>
      <c r="I24" s="45">
        <v>0.39800000000000002</v>
      </c>
      <c r="J24" s="45">
        <v>80.45</v>
      </c>
      <c r="K24" s="45">
        <v>9.56</v>
      </c>
      <c r="L24" s="45">
        <v>2.98</v>
      </c>
      <c r="M24" s="45">
        <v>1.95</v>
      </c>
      <c r="N24" s="35">
        <v>12</v>
      </c>
      <c r="O24" s="35" t="s">
        <v>26</v>
      </c>
      <c r="P24" s="35">
        <v>21</v>
      </c>
      <c r="Q24" s="35">
        <v>0</v>
      </c>
      <c r="R24" s="225">
        <f t="shared" si="17"/>
        <v>0.90763209393346378</v>
      </c>
      <c r="S24" s="225"/>
      <c r="T24" s="225"/>
      <c r="U24" s="78">
        <f t="shared" si="0"/>
        <v>0</v>
      </c>
      <c r="V24" s="78">
        <f t="shared" si="1"/>
        <v>0</v>
      </c>
      <c r="W24" s="36">
        <f t="shared" si="2"/>
        <v>21</v>
      </c>
      <c r="X24" s="36">
        <f t="shared" si="3"/>
        <v>0</v>
      </c>
      <c r="Y24" s="40">
        <f>IF(B24="Public", 'synthèse v2'!$F$62/1000, IF(B24="Privé non lucratif",'synthèse v2'!$F$61/1000, IF(B24="Privé", 'synthèse v2'!$F$60/1000, "")))</f>
        <v>43.762959354365371</v>
      </c>
      <c r="Z24" s="40">
        <f t="shared" si="18"/>
        <v>21.881479677182686</v>
      </c>
      <c r="AA24" s="40">
        <f t="shared" si="4"/>
        <v>0</v>
      </c>
      <c r="AB24" s="40">
        <f t="shared" si="5"/>
        <v>0</v>
      </c>
      <c r="AC24" s="34">
        <f t="shared" si="6"/>
        <v>0</v>
      </c>
      <c r="AD24" s="34">
        <f t="shared" si="7"/>
        <v>0</v>
      </c>
      <c r="AE24" s="34">
        <f t="shared" si="8"/>
        <v>0</v>
      </c>
      <c r="AF24" s="36">
        <v>0</v>
      </c>
      <c r="AG24" s="36">
        <v>0</v>
      </c>
      <c r="AH24" s="39">
        <v>0</v>
      </c>
      <c r="AI24" s="39">
        <v>0</v>
      </c>
      <c r="AJ24" s="36">
        <f t="shared" si="9"/>
        <v>0</v>
      </c>
      <c r="AK24" s="36">
        <f t="shared" si="10"/>
        <v>0</v>
      </c>
      <c r="AL24" s="40"/>
      <c r="AM24" s="40"/>
      <c r="AN24" s="34">
        <f t="shared" si="11"/>
        <v>0</v>
      </c>
      <c r="AO24" s="34">
        <f t="shared" si="12"/>
        <v>0</v>
      </c>
      <c r="AP24" s="34">
        <f t="shared" si="13"/>
        <v>0</v>
      </c>
      <c r="AR24" s="34">
        <f t="shared" si="14"/>
        <v>0</v>
      </c>
      <c r="AS24" s="34"/>
      <c r="AT24" s="29">
        <f>+VLOOKUP(C24,dotpop24!$A$10:$K$178,11,0)</f>
        <v>1453807.3</v>
      </c>
      <c r="AU24" s="29">
        <f t="shared" si="15"/>
        <v>69228.919047619056</v>
      </c>
      <c r="AV24" s="29">
        <f t="shared" si="19"/>
        <v>34614.459523809528</v>
      </c>
      <c r="AW24" s="29">
        <f t="shared" si="16"/>
        <v>0</v>
      </c>
    </row>
    <row r="25" spans="1:49">
      <c r="A25" s="1" t="s">
        <v>22</v>
      </c>
      <c r="B25" s="1" t="s">
        <v>23</v>
      </c>
      <c r="C25" s="97">
        <v>120780093</v>
      </c>
      <c r="D25" s="1" t="s">
        <v>50</v>
      </c>
      <c r="E25" s="1" t="s">
        <v>25</v>
      </c>
      <c r="F25" s="44">
        <v>6513</v>
      </c>
      <c r="G25" s="44">
        <v>6513</v>
      </c>
      <c r="H25" s="44">
        <v>0</v>
      </c>
      <c r="I25" s="45">
        <v>0.47</v>
      </c>
      <c r="J25" s="45">
        <v>78.540000000000006</v>
      </c>
      <c r="K25" s="45">
        <v>10.06</v>
      </c>
      <c r="L25" s="45">
        <v>2.88</v>
      </c>
      <c r="M25" s="45">
        <v>1.35</v>
      </c>
      <c r="N25" s="35">
        <v>12</v>
      </c>
      <c r="O25" s="35" t="s">
        <v>26</v>
      </c>
      <c r="P25" s="35">
        <v>24</v>
      </c>
      <c r="Q25" s="35">
        <v>0</v>
      </c>
      <c r="R25" s="225">
        <f t="shared" si="17"/>
        <v>0.74349315068493149</v>
      </c>
      <c r="S25" s="225"/>
      <c r="T25" s="225"/>
      <c r="U25" s="78">
        <f t="shared" si="0"/>
        <v>3.7561643835616438</v>
      </c>
      <c r="V25" s="78">
        <f t="shared" si="1"/>
        <v>0</v>
      </c>
      <c r="W25" s="36">
        <f t="shared" si="2"/>
        <v>24</v>
      </c>
      <c r="X25" s="36">
        <f t="shared" si="3"/>
        <v>0</v>
      </c>
      <c r="Y25" s="40">
        <f>IF(B25="Public", 'synthèse v2'!$F$62/1000, IF(B25="Privé non lucratif",'synthèse v2'!$F$61/1000, IF(B25="Privé", 'synthèse v2'!$F$60/1000, "")))</f>
        <v>43.762959354365371</v>
      </c>
      <c r="Z25" s="40">
        <f t="shared" si="18"/>
        <v>21.881479677182686</v>
      </c>
      <c r="AA25" s="40">
        <f t="shared" si="4"/>
        <v>3.7561643835616438</v>
      </c>
      <c r="AB25" s="40">
        <f t="shared" si="5"/>
        <v>0</v>
      </c>
      <c r="AC25" s="34">
        <f t="shared" si="6"/>
        <v>164.38086924612307</v>
      </c>
      <c r="AD25" s="34">
        <f t="shared" si="7"/>
        <v>0</v>
      </c>
      <c r="AE25" s="34">
        <f t="shared" si="8"/>
        <v>164.38086924612307</v>
      </c>
      <c r="AF25" s="36">
        <v>0</v>
      </c>
      <c r="AG25" s="36">
        <v>0</v>
      </c>
      <c r="AH25" s="39">
        <v>0</v>
      </c>
      <c r="AI25" s="39">
        <v>0</v>
      </c>
      <c r="AJ25" s="36">
        <f t="shared" si="9"/>
        <v>0</v>
      </c>
      <c r="AK25" s="36">
        <f t="shared" si="10"/>
        <v>0</v>
      </c>
      <c r="AL25" s="40"/>
      <c r="AM25" s="40"/>
      <c r="AN25" s="34">
        <f t="shared" si="11"/>
        <v>0</v>
      </c>
      <c r="AO25" s="34">
        <f t="shared" si="12"/>
        <v>0</v>
      </c>
      <c r="AP25" s="34">
        <f t="shared" si="13"/>
        <v>0</v>
      </c>
      <c r="AR25" s="34">
        <f t="shared" si="14"/>
        <v>164.38086924612307</v>
      </c>
      <c r="AS25" s="34"/>
      <c r="AT25" s="29">
        <f>+VLOOKUP(C25,dotpop24!$A$10:$K$178,11,0)</f>
        <v>971351.94</v>
      </c>
      <c r="AU25" s="29">
        <f t="shared" si="15"/>
        <v>40472.997499999998</v>
      </c>
      <c r="AV25" s="29">
        <f t="shared" si="19"/>
        <v>20236.498749999999</v>
      </c>
      <c r="AW25" s="29">
        <f t="shared" si="16"/>
        <v>152023.23170547944</v>
      </c>
    </row>
    <row r="26" spans="1:49">
      <c r="A26" s="1" t="s">
        <v>22</v>
      </c>
      <c r="B26" s="1" t="s">
        <v>23</v>
      </c>
      <c r="C26" s="97">
        <v>120780101</v>
      </c>
      <c r="D26" s="1" t="s">
        <v>51</v>
      </c>
      <c r="E26" s="1" t="s">
        <v>25</v>
      </c>
      <c r="F26" s="44">
        <v>18381</v>
      </c>
      <c r="G26" s="44">
        <v>16394</v>
      </c>
      <c r="H26" s="44">
        <v>1987</v>
      </c>
      <c r="I26" s="45">
        <v>0.55500000000000005</v>
      </c>
      <c r="J26" s="45">
        <v>68.19</v>
      </c>
      <c r="K26" s="45">
        <v>8.77</v>
      </c>
      <c r="L26" s="45">
        <v>2.81</v>
      </c>
      <c r="M26" s="45">
        <v>3.63</v>
      </c>
      <c r="N26" s="35">
        <v>12</v>
      </c>
      <c r="O26" s="35" t="s">
        <v>26</v>
      </c>
      <c r="P26" s="35">
        <v>85</v>
      </c>
      <c r="Q26" s="35">
        <v>10</v>
      </c>
      <c r="R26" s="225">
        <f t="shared" si="17"/>
        <v>0.52841257050765511</v>
      </c>
      <c r="S26" s="225">
        <f>+H26/(Q26*365)</f>
        <v>0.54438356164383561</v>
      </c>
      <c r="T26" s="225"/>
      <c r="U26" s="78">
        <f t="shared" si="0"/>
        <v>31.584931506849315</v>
      </c>
      <c r="V26" s="78">
        <f t="shared" si="1"/>
        <v>4.0561643835616437</v>
      </c>
      <c r="W26" s="36">
        <f t="shared" si="2"/>
        <v>85</v>
      </c>
      <c r="X26" s="36">
        <f t="shared" si="3"/>
        <v>10</v>
      </c>
      <c r="Y26" s="40">
        <f>IF(B26="Public", 'synthèse v2'!$F$62/1000, IF(B26="Privé non lucratif",'synthèse v2'!$F$61/1000, IF(B26="Privé", 'synthèse v2'!$F$60/1000, "")))</f>
        <v>43.762959354365371</v>
      </c>
      <c r="Z26" s="40">
        <f t="shared" si="18"/>
        <v>21.881479677182686</v>
      </c>
      <c r="AA26" s="40">
        <f t="shared" si="4"/>
        <v>31.584931506849315</v>
      </c>
      <c r="AB26" s="40">
        <f t="shared" si="5"/>
        <v>4.0561643835616437</v>
      </c>
      <c r="AC26" s="34">
        <f t="shared" si="6"/>
        <v>1382.2500737446608</v>
      </c>
      <c r="AD26" s="34">
        <f t="shared" si="7"/>
        <v>88.754878526216345</v>
      </c>
      <c r="AE26" s="34">
        <f t="shared" si="8"/>
        <v>1471.0049522708771</v>
      </c>
      <c r="AF26" s="36">
        <v>0</v>
      </c>
      <c r="AG26" s="36">
        <v>0</v>
      </c>
      <c r="AH26" s="39">
        <v>0</v>
      </c>
      <c r="AI26" s="39">
        <v>0</v>
      </c>
      <c r="AJ26" s="36">
        <f t="shared" si="9"/>
        <v>0</v>
      </c>
      <c r="AK26" s="36">
        <f t="shared" si="10"/>
        <v>0</v>
      </c>
      <c r="AL26" s="40"/>
      <c r="AM26" s="40"/>
      <c r="AN26" s="34">
        <f t="shared" si="11"/>
        <v>0</v>
      </c>
      <c r="AO26" s="34">
        <f t="shared" si="12"/>
        <v>0</v>
      </c>
      <c r="AP26" s="34">
        <f t="shared" si="13"/>
        <v>0</v>
      </c>
      <c r="AR26" s="34">
        <f t="shared" si="14"/>
        <v>1471.0049522708771</v>
      </c>
      <c r="AS26" s="34"/>
      <c r="AT26" s="29">
        <f>+VLOOKUP(C26,dotpop24!$A$10:$K$178,11,0)</f>
        <v>3849938.51</v>
      </c>
      <c r="AU26" s="29">
        <f t="shared" si="15"/>
        <v>42777.094555555552</v>
      </c>
      <c r="AV26" s="29">
        <f t="shared" si="19"/>
        <v>21388.547277777776</v>
      </c>
      <c r="AW26" s="29">
        <f t="shared" si="16"/>
        <v>1437867.0652834855</v>
      </c>
    </row>
    <row r="27" spans="1:49">
      <c r="A27" s="1" t="s">
        <v>33</v>
      </c>
      <c r="B27" s="1" t="s">
        <v>34</v>
      </c>
      <c r="C27" s="97">
        <v>120780135</v>
      </c>
      <c r="D27" s="1" t="s">
        <v>52</v>
      </c>
      <c r="E27" s="1" t="s">
        <v>25</v>
      </c>
      <c r="F27" s="44">
        <v>22189</v>
      </c>
      <c r="G27" s="44">
        <v>22189</v>
      </c>
      <c r="H27" s="44">
        <v>0</v>
      </c>
      <c r="I27" s="45">
        <v>0.47399999999999998</v>
      </c>
      <c r="J27" s="45">
        <v>81.599999999999994</v>
      </c>
      <c r="K27" s="45">
        <v>12.81</v>
      </c>
      <c r="L27" s="45">
        <v>5.15</v>
      </c>
      <c r="M27" s="45">
        <v>1.1100000000000001</v>
      </c>
      <c r="N27" s="35">
        <v>12</v>
      </c>
      <c r="O27" s="35" t="s">
        <v>26</v>
      </c>
      <c r="P27" s="35">
        <v>74</v>
      </c>
      <c r="Q27" s="35">
        <v>0</v>
      </c>
      <c r="R27" s="225">
        <f t="shared" si="17"/>
        <v>0.82151055164753795</v>
      </c>
      <c r="S27" s="225"/>
      <c r="T27" s="225"/>
      <c r="U27" s="78">
        <f t="shared" si="0"/>
        <v>5.8082191780821919</v>
      </c>
      <c r="V27" s="78">
        <f t="shared" si="1"/>
        <v>0</v>
      </c>
      <c r="W27" s="36">
        <f t="shared" si="2"/>
        <v>74</v>
      </c>
      <c r="X27" s="36">
        <f t="shared" si="3"/>
        <v>0</v>
      </c>
      <c r="Y27" s="40">
        <f>IF(B27="Public", 'synthèse v2'!$F$62/1000, IF(B27="Privé non lucratif",'synthèse v2'!$F$61/1000, IF(B27="Privé", 'synthèse v2'!$F$60/1000, "")))</f>
        <v>36.984345997610518</v>
      </c>
      <c r="Z27" s="40">
        <f t="shared" si="18"/>
        <v>18.492172998805259</v>
      </c>
      <c r="AA27" s="40">
        <f t="shared" si="4"/>
        <v>5.8082191780821919</v>
      </c>
      <c r="AB27" s="40">
        <f t="shared" si="5"/>
        <v>0</v>
      </c>
      <c r="AC27" s="34">
        <f t="shared" si="6"/>
        <v>214.81318771214876</v>
      </c>
      <c r="AD27" s="34">
        <f t="shared" si="7"/>
        <v>0</v>
      </c>
      <c r="AE27" s="34">
        <f t="shared" si="8"/>
        <v>214.81318771214876</v>
      </c>
      <c r="AF27" s="36">
        <v>0</v>
      </c>
      <c r="AG27" s="36">
        <v>0</v>
      </c>
      <c r="AH27" s="39">
        <v>0</v>
      </c>
      <c r="AI27" s="39">
        <v>0</v>
      </c>
      <c r="AJ27" s="36">
        <f t="shared" si="9"/>
        <v>0</v>
      </c>
      <c r="AK27" s="36">
        <f t="shared" si="10"/>
        <v>0</v>
      </c>
      <c r="AL27" s="40"/>
      <c r="AM27" s="40"/>
      <c r="AN27" s="34">
        <f t="shared" si="11"/>
        <v>0</v>
      </c>
      <c r="AO27" s="34">
        <f t="shared" si="12"/>
        <v>0</v>
      </c>
      <c r="AP27" s="34">
        <f t="shared" si="13"/>
        <v>0</v>
      </c>
      <c r="AR27" s="34">
        <f t="shared" si="14"/>
        <v>214.81318771214876</v>
      </c>
      <c r="AS27" s="34"/>
      <c r="AT27" s="29">
        <f>+VLOOKUP(C27,dotpop24!$A$10:$K$178,11,0)</f>
        <v>3019604.36</v>
      </c>
      <c r="AU27" s="29">
        <f t="shared" si="15"/>
        <v>40805.464324324319</v>
      </c>
      <c r="AV27" s="29">
        <f t="shared" si="19"/>
        <v>20402.73216216216</v>
      </c>
      <c r="AW27" s="29">
        <f t="shared" si="16"/>
        <v>237007.08045908919</v>
      </c>
    </row>
    <row r="28" spans="1:49">
      <c r="A28" s="1" t="s">
        <v>30</v>
      </c>
      <c r="B28" s="1" t="s">
        <v>34</v>
      </c>
      <c r="C28" s="97">
        <v>120780143</v>
      </c>
      <c r="D28" s="1" t="s">
        <v>53</v>
      </c>
      <c r="E28" s="1" t="s">
        <v>25</v>
      </c>
      <c r="F28" s="44">
        <v>31582</v>
      </c>
      <c r="G28" s="44">
        <v>29032</v>
      </c>
      <c r="H28" s="44">
        <v>2550</v>
      </c>
      <c r="I28" s="45">
        <v>0.495</v>
      </c>
      <c r="J28" s="45">
        <v>72.900000000000006</v>
      </c>
      <c r="K28" s="45">
        <v>7.13</v>
      </c>
      <c r="L28" s="45">
        <v>2.85</v>
      </c>
      <c r="M28" s="45">
        <v>2.0299999999999998</v>
      </c>
      <c r="N28" s="35">
        <v>12</v>
      </c>
      <c r="O28" s="35" t="s">
        <v>26</v>
      </c>
      <c r="P28" s="35">
        <v>108</v>
      </c>
      <c r="Q28" s="35">
        <v>10</v>
      </c>
      <c r="R28" s="225">
        <f t="shared" si="17"/>
        <v>0.73647894469812281</v>
      </c>
      <c r="S28" s="225">
        <f>+H28/(Q28*365)</f>
        <v>0.69863013698630139</v>
      </c>
      <c r="T28" s="225"/>
      <c r="U28" s="78">
        <f t="shared" si="0"/>
        <v>17.660273972602738</v>
      </c>
      <c r="V28" s="78">
        <f t="shared" si="1"/>
        <v>2.5136986301369864</v>
      </c>
      <c r="W28" s="36">
        <f t="shared" si="2"/>
        <v>108</v>
      </c>
      <c r="X28" s="36">
        <f t="shared" si="3"/>
        <v>10</v>
      </c>
      <c r="Y28" s="40">
        <f>IF(B28="Public", 'synthèse v2'!$F$62/1000, IF(B28="Privé non lucratif",'synthèse v2'!$F$61/1000, IF(B28="Privé", 'synthèse v2'!$F$60/1000, "")))</f>
        <v>36.984345997610518</v>
      </c>
      <c r="Z28" s="40">
        <f t="shared" si="18"/>
        <v>18.492172998805259</v>
      </c>
      <c r="AA28" s="40">
        <f t="shared" si="4"/>
        <v>17.660273972602738</v>
      </c>
      <c r="AB28" s="40">
        <f t="shared" si="5"/>
        <v>2.5136986301369864</v>
      </c>
      <c r="AC28" s="34">
        <f t="shared" si="6"/>
        <v>653.15368301533533</v>
      </c>
      <c r="AD28" s="34">
        <f t="shared" si="7"/>
        <v>46.483749935352947</v>
      </c>
      <c r="AE28" s="34">
        <f t="shared" si="8"/>
        <v>699.63743295068832</v>
      </c>
      <c r="AF28" s="36">
        <v>0</v>
      </c>
      <c r="AG28" s="36">
        <v>0</v>
      </c>
      <c r="AH28" s="39">
        <v>0</v>
      </c>
      <c r="AI28" s="39">
        <v>0</v>
      </c>
      <c r="AJ28" s="36">
        <f t="shared" si="9"/>
        <v>0</v>
      </c>
      <c r="AK28" s="36">
        <f t="shared" si="10"/>
        <v>0</v>
      </c>
      <c r="AL28" s="40"/>
      <c r="AM28" s="40"/>
      <c r="AN28" s="34">
        <f t="shared" si="11"/>
        <v>0</v>
      </c>
      <c r="AO28" s="34">
        <f t="shared" si="12"/>
        <v>0</v>
      </c>
      <c r="AP28" s="34">
        <f t="shared" si="13"/>
        <v>0</v>
      </c>
      <c r="AR28" s="34">
        <f t="shared" si="14"/>
        <v>699.63743295068832</v>
      </c>
      <c r="AS28" s="34"/>
      <c r="AT28" s="29">
        <f>+VLOOKUP(C28,dotpop24!$A$10:$K$178,11,0)</f>
        <v>2581606</v>
      </c>
      <c r="AU28" s="29">
        <f t="shared" si="15"/>
        <v>22846.070796460175</v>
      </c>
      <c r="AV28" s="29">
        <f t="shared" si="19"/>
        <v>11423.035398230088</v>
      </c>
      <c r="AW28" s="29">
        <f t="shared" si="16"/>
        <v>432181.93789550237</v>
      </c>
    </row>
    <row r="29" spans="1:49">
      <c r="A29" s="1" t="s">
        <v>22</v>
      </c>
      <c r="B29" s="1" t="s">
        <v>23</v>
      </c>
      <c r="C29" s="97">
        <v>120780291</v>
      </c>
      <c r="D29" s="1" t="s">
        <v>54</v>
      </c>
      <c r="E29" s="1" t="s">
        <v>25</v>
      </c>
      <c r="F29" s="44">
        <v>7265</v>
      </c>
      <c r="G29" s="44">
        <v>7265</v>
      </c>
      <c r="H29" s="44">
        <v>0</v>
      </c>
      <c r="I29" s="45">
        <v>0.34300000000000003</v>
      </c>
      <c r="J29" s="45">
        <v>80.63</v>
      </c>
      <c r="K29" s="45">
        <v>9.34</v>
      </c>
      <c r="L29" s="45">
        <v>4.17</v>
      </c>
      <c r="M29" s="45">
        <v>1.38</v>
      </c>
      <c r="N29" s="35">
        <v>12</v>
      </c>
      <c r="O29" s="35" t="s">
        <v>26</v>
      </c>
      <c r="P29" s="35">
        <v>41</v>
      </c>
      <c r="Q29" s="35">
        <v>0</v>
      </c>
      <c r="R29" s="225">
        <f t="shared" si="17"/>
        <v>0.48546608753758769</v>
      </c>
      <c r="S29" s="225"/>
      <c r="T29" s="225"/>
      <c r="U29" s="78">
        <f t="shared" si="0"/>
        <v>16.995890410958904</v>
      </c>
      <c r="V29" s="78">
        <f t="shared" si="1"/>
        <v>0</v>
      </c>
      <c r="W29" s="36">
        <f t="shared" si="2"/>
        <v>41</v>
      </c>
      <c r="X29" s="36">
        <f t="shared" si="3"/>
        <v>0</v>
      </c>
      <c r="Y29" s="40">
        <f>IF(B29="Public", 'synthèse v2'!$F$62/1000, IF(B29="Privé non lucratif",'synthèse v2'!$F$61/1000, IF(B29="Privé", 'synthèse v2'!$F$60/1000, "")))</f>
        <v>43.762959354365371</v>
      </c>
      <c r="Z29" s="40">
        <f t="shared" si="18"/>
        <v>21.881479677182686</v>
      </c>
      <c r="AA29" s="40">
        <f t="shared" si="4"/>
        <v>16.995890410958904</v>
      </c>
      <c r="AB29" s="40">
        <f t="shared" si="5"/>
        <v>0</v>
      </c>
      <c r="AC29" s="34">
        <f t="shared" si="6"/>
        <v>743.7904612460427</v>
      </c>
      <c r="AD29" s="34">
        <f t="shared" si="7"/>
        <v>0</v>
      </c>
      <c r="AE29" s="34">
        <f t="shared" si="8"/>
        <v>743.7904612460427</v>
      </c>
      <c r="AF29" s="36">
        <v>0</v>
      </c>
      <c r="AG29" s="36">
        <v>0</v>
      </c>
      <c r="AH29" s="39">
        <v>0</v>
      </c>
      <c r="AI29" s="39">
        <v>0</v>
      </c>
      <c r="AJ29" s="36">
        <f t="shared" si="9"/>
        <v>0</v>
      </c>
      <c r="AK29" s="36">
        <f t="shared" si="10"/>
        <v>0</v>
      </c>
      <c r="AL29" s="40"/>
      <c r="AM29" s="40"/>
      <c r="AN29" s="34">
        <f t="shared" si="11"/>
        <v>0</v>
      </c>
      <c r="AO29" s="34">
        <f t="shared" si="12"/>
        <v>0</v>
      </c>
      <c r="AP29" s="34">
        <f t="shared" si="13"/>
        <v>0</v>
      </c>
      <c r="AR29" s="34">
        <f t="shared" si="14"/>
        <v>743.7904612460427</v>
      </c>
      <c r="AS29" s="34"/>
      <c r="AT29" s="29">
        <f>+VLOOKUP(C29,dotpop24!$A$10:$K$178,11,0)</f>
        <v>1430511.49</v>
      </c>
      <c r="AU29" s="29">
        <f t="shared" si="15"/>
        <v>34890.524146341464</v>
      </c>
      <c r="AV29" s="29">
        <f t="shared" si="19"/>
        <v>17445.262073170732</v>
      </c>
      <c r="AW29" s="29">
        <f t="shared" si="16"/>
        <v>592995.52477213496</v>
      </c>
    </row>
    <row r="30" spans="1:49">
      <c r="A30" s="1" t="s">
        <v>22</v>
      </c>
      <c r="B30" s="1" t="s">
        <v>23</v>
      </c>
      <c r="C30" s="97">
        <v>120780481</v>
      </c>
      <c r="D30" s="1" t="s">
        <v>55</v>
      </c>
      <c r="E30" s="1" t="s">
        <v>25</v>
      </c>
      <c r="F30" s="44">
        <v>9358</v>
      </c>
      <c r="G30" s="44">
        <v>9358</v>
      </c>
      <c r="H30" s="44">
        <v>0</v>
      </c>
      <c r="I30" s="45">
        <v>0.442</v>
      </c>
      <c r="J30" s="45">
        <v>80.23</v>
      </c>
      <c r="K30" s="45">
        <v>9.8699999999999992</v>
      </c>
      <c r="L30" s="45">
        <v>3.59</v>
      </c>
      <c r="M30" s="45">
        <v>0.54</v>
      </c>
      <c r="N30" s="35">
        <v>12</v>
      </c>
      <c r="O30" s="35" t="s">
        <v>26</v>
      </c>
      <c r="P30" s="35">
        <v>34</v>
      </c>
      <c r="Q30" s="35">
        <v>0</v>
      </c>
      <c r="R30" s="225">
        <f t="shared" si="17"/>
        <v>0.75406929895245767</v>
      </c>
      <c r="S30" s="225"/>
      <c r="T30" s="225"/>
      <c r="U30" s="78">
        <f t="shared" si="0"/>
        <v>4.9616438356164387</v>
      </c>
      <c r="V30" s="78">
        <f t="shared" si="1"/>
        <v>0</v>
      </c>
      <c r="W30" s="36">
        <f t="shared" si="2"/>
        <v>34</v>
      </c>
      <c r="X30" s="36">
        <f t="shared" si="3"/>
        <v>0</v>
      </c>
      <c r="Y30" s="40">
        <f>IF(B30="Public", 'synthèse v2'!$F$62/1000, IF(B30="Privé non lucratif",'synthèse v2'!$F$61/1000, IF(B30="Privé", 'synthèse v2'!$F$60/1000, "")))</f>
        <v>43.762959354365371</v>
      </c>
      <c r="Z30" s="40">
        <f t="shared" si="18"/>
        <v>21.881479677182686</v>
      </c>
      <c r="AA30" s="40">
        <f t="shared" si="4"/>
        <v>4.9616438356164387</v>
      </c>
      <c r="AB30" s="40">
        <f t="shared" si="5"/>
        <v>0</v>
      </c>
      <c r="AC30" s="34">
        <f t="shared" si="6"/>
        <v>217.13621750891971</v>
      </c>
      <c r="AD30" s="34">
        <f t="shared" si="7"/>
        <v>0</v>
      </c>
      <c r="AE30" s="34">
        <f t="shared" si="8"/>
        <v>217.13621750891971</v>
      </c>
      <c r="AF30" s="36">
        <v>0</v>
      </c>
      <c r="AG30" s="36">
        <v>0</v>
      </c>
      <c r="AH30" s="39">
        <v>0</v>
      </c>
      <c r="AI30" s="39">
        <v>0</v>
      </c>
      <c r="AJ30" s="36">
        <f t="shared" si="9"/>
        <v>0</v>
      </c>
      <c r="AK30" s="36">
        <f t="shared" si="10"/>
        <v>0</v>
      </c>
      <c r="AL30" s="40"/>
      <c r="AM30" s="40"/>
      <c r="AN30" s="34">
        <f t="shared" si="11"/>
        <v>0</v>
      </c>
      <c r="AO30" s="34">
        <f t="shared" si="12"/>
        <v>0</v>
      </c>
      <c r="AP30" s="34">
        <f t="shared" si="13"/>
        <v>0</v>
      </c>
      <c r="AR30" s="34">
        <f t="shared" si="14"/>
        <v>217.13621750891971</v>
      </c>
      <c r="AS30" s="34"/>
      <c r="AT30" s="29">
        <f>+VLOOKUP(C30,dotpop24!$A$10:$K$178,11,0)</f>
        <v>981670.78</v>
      </c>
      <c r="AU30" s="29">
        <f t="shared" si="15"/>
        <v>28872.670000000002</v>
      </c>
      <c r="AV30" s="29">
        <f t="shared" si="19"/>
        <v>14436.335000000001</v>
      </c>
      <c r="AW30" s="29">
        <f t="shared" si="16"/>
        <v>143255.9051232877</v>
      </c>
    </row>
    <row r="31" spans="1:49">
      <c r="A31" s="1" t="s">
        <v>33</v>
      </c>
      <c r="B31" s="1" t="s">
        <v>34</v>
      </c>
      <c r="C31" s="97">
        <v>300002169</v>
      </c>
      <c r="D31" s="1" t="s">
        <v>56</v>
      </c>
      <c r="E31" s="1" t="s">
        <v>25</v>
      </c>
      <c r="F31" s="44">
        <v>14593</v>
      </c>
      <c r="G31" s="44">
        <v>13707</v>
      </c>
      <c r="H31" s="44">
        <v>886</v>
      </c>
      <c r="I31" s="45">
        <v>0.33</v>
      </c>
      <c r="J31" s="45">
        <v>84.42</v>
      </c>
      <c r="K31" s="45">
        <v>11.55</v>
      </c>
      <c r="L31" s="45">
        <v>3.4</v>
      </c>
      <c r="M31" s="45">
        <v>1.79</v>
      </c>
      <c r="N31" s="35">
        <v>30</v>
      </c>
      <c r="O31" s="35" t="s">
        <v>26</v>
      </c>
      <c r="P31" s="35">
        <v>35</v>
      </c>
      <c r="Q31" s="35">
        <v>6</v>
      </c>
      <c r="R31" s="225">
        <f t="shared" si="17"/>
        <v>1.0729549902152642</v>
      </c>
      <c r="S31" s="225">
        <f>+H31/(Q31*365)</f>
        <v>0.40456621004566212</v>
      </c>
      <c r="T31" s="225"/>
      <c r="U31" s="78">
        <f t="shared" si="0"/>
        <v>0</v>
      </c>
      <c r="V31" s="78">
        <f t="shared" si="1"/>
        <v>3.2726027397260276</v>
      </c>
      <c r="W31" s="36">
        <f t="shared" si="2"/>
        <v>35</v>
      </c>
      <c r="X31" s="36">
        <f t="shared" si="3"/>
        <v>6</v>
      </c>
      <c r="Y31" s="40">
        <f>IF(B31="Public", 'synthèse v2'!$F$62/1000, IF(B31="Privé non lucratif",'synthèse v2'!$F$61/1000, IF(B31="Privé", 'synthèse v2'!$F$60/1000, "")))</f>
        <v>36.984345997610518</v>
      </c>
      <c r="Z31" s="40">
        <f t="shared" si="18"/>
        <v>18.492172998805259</v>
      </c>
      <c r="AA31" s="40">
        <f t="shared" si="4"/>
        <v>0</v>
      </c>
      <c r="AB31" s="40">
        <f t="shared" si="5"/>
        <v>3.2726027397260276</v>
      </c>
      <c r="AC31" s="34">
        <f t="shared" si="6"/>
        <v>0</v>
      </c>
      <c r="AD31" s="34">
        <f t="shared" si="7"/>
        <v>60.517536019377765</v>
      </c>
      <c r="AE31" s="34">
        <f t="shared" si="8"/>
        <v>60.517536019377765</v>
      </c>
      <c r="AF31" s="36">
        <v>0</v>
      </c>
      <c r="AG31" s="36">
        <v>0</v>
      </c>
      <c r="AH31" s="39">
        <v>0</v>
      </c>
      <c r="AI31" s="39">
        <v>0</v>
      </c>
      <c r="AJ31" s="36">
        <f t="shared" si="9"/>
        <v>0</v>
      </c>
      <c r="AK31" s="36">
        <f t="shared" si="10"/>
        <v>0</v>
      </c>
      <c r="AL31" s="40"/>
      <c r="AM31" s="40"/>
      <c r="AN31" s="34">
        <f t="shared" si="11"/>
        <v>0</v>
      </c>
      <c r="AO31" s="34">
        <f t="shared" si="12"/>
        <v>0</v>
      </c>
      <c r="AP31" s="34">
        <f t="shared" si="13"/>
        <v>0</v>
      </c>
      <c r="AR31" s="34">
        <f t="shared" si="14"/>
        <v>60.517536019377765</v>
      </c>
      <c r="AS31" s="34"/>
      <c r="AT31" s="29">
        <f>+VLOOKUP(C31,dotpop24!$A$10:$K$178,11,0)</f>
        <v>1386794.34</v>
      </c>
      <c r="AU31" s="29">
        <f t="shared" si="15"/>
        <v>36494.587894736847</v>
      </c>
      <c r="AV31" s="29">
        <f t="shared" si="19"/>
        <v>18247.293947368424</v>
      </c>
      <c r="AW31" s="29">
        <f t="shared" si="16"/>
        <v>59716.144164744066</v>
      </c>
    </row>
    <row r="32" spans="1:49">
      <c r="A32" s="1" t="s">
        <v>33</v>
      </c>
      <c r="B32" s="1" t="s">
        <v>34</v>
      </c>
      <c r="C32" s="97">
        <v>300012358</v>
      </c>
      <c r="D32" s="1" t="s">
        <v>57</v>
      </c>
      <c r="E32" s="1" t="s">
        <v>25</v>
      </c>
      <c r="F32" s="44">
        <v>26481</v>
      </c>
      <c r="G32" s="44">
        <v>24814</v>
      </c>
      <c r="H32" s="44">
        <v>1667</v>
      </c>
      <c r="I32" s="45">
        <v>0.4</v>
      </c>
      <c r="J32" s="45">
        <v>77.16</v>
      </c>
      <c r="K32" s="45">
        <v>9.1199999999999992</v>
      </c>
      <c r="L32" s="45">
        <v>2.5299999999999998</v>
      </c>
      <c r="M32" s="45">
        <v>1.69</v>
      </c>
      <c r="N32" s="35">
        <v>30</v>
      </c>
      <c r="O32" s="35" t="s">
        <v>26</v>
      </c>
      <c r="P32" s="35">
        <v>82</v>
      </c>
      <c r="Q32" s="35">
        <v>0</v>
      </c>
      <c r="R32" s="225">
        <f t="shared" si="17"/>
        <v>0.82906782492482456</v>
      </c>
      <c r="S32" s="225"/>
      <c r="T32" s="225"/>
      <c r="U32" s="78">
        <f t="shared" si="0"/>
        <v>5.816438356164384</v>
      </c>
      <c r="V32" s="78">
        <f t="shared" si="1"/>
        <v>0</v>
      </c>
      <c r="W32" s="36">
        <f t="shared" si="2"/>
        <v>82</v>
      </c>
      <c r="X32" s="36">
        <f t="shared" si="3"/>
        <v>0</v>
      </c>
      <c r="Y32" s="40">
        <f>IF(B32="Public", 'synthèse v2'!$F$62/1000, IF(B32="Privé non lucratif",'synthèse v2'!$F$61/1000, IF(B32="Privé", 'synthèse v2'!$F$60/1000, "")))</f>
        <v>36.984345997610518</v>
      </c>
      <c r="Z32" s="40">
        <f t="shared" si="18"/>
        <v>18.492172998805259</v>
      </c>
      <c r="AA32" s="40">
        <f t="shared" si="4"/>
        <v>5.816438356164384</v>
      </c>
      <c r="AB32" s="40">
        <f t="shared" si="5"/>
        <v>0</v>
      </c>
      <c r="AC32" s="34">
        <f t="shared" si="6"/>
        <v>215.11716863815653</v>
      </c>
      <c r="AD32" s="34">
        <f t="shared" si="7"/>
        <v>0</v>
      </c>
      <c r="AE32" s="34">
        <f t="shared" si="8"/>
        <v>215.11716863815653</v>
      </c>
      <c r="AF32" s="36">
        <v>0</v>
      </c>
      <c r="AG32" s="36">
        <v>0</v>
      </c>
      <c r="AH32" s="39">
        <v>0</v>
      </c>
      <c r="AI32" s="39">
        <v>0</v>
      </c>
      <c r="AJ32" s="36">
        <f t="shared" si="9"/>
        <v>0</v>
      </c>
      <c r="AK32" s="36">
        <f t="shared" si="10"/>
        <v>0</v>
      </c>
      <c r="AL32" s="40"/>
      <c r="AM32" s="40"/>
      <c r="AN32" s="34">
        <f t="shared" si="11"/>
        <v>0</v>
      </c>
      <c r="AO32" s="34">
        <f t="shared" si="12"/>
        <v>0</v>
      </c>
      <c r="AP32" s="34">
        <f t="shared" si="13"/>
        <v>0</v>
      </c>
      <c r="AR32" s="34">
        <f t="shared" si="14"/>
        <v>215.11716863815653</v>
      </c>
      <c r="AS32" s="34"/>
      <c r="AT32" s="29">
        <f>+VLOOKUP(C32,dotpop24!$A$10:$K$178,11,0)</f>
        <v>2889919.58</v>
      </c>
      <c r="AU32" s="29">
        <f t="shared" si="15"/>
        <v>35242.921707317073</v>
      </c>
      <c r="AV32" s="29">
        <f t="shared" si="19"/>
        <v>17621.460853658537</v>
      </c>
      <c r="AW32" s="29">
        <f t="shared" si="16"/>
        <v>204988.2816017374</v>
      </c>
    </row>
    <row r="33" spans="1:49">
      <c r="A33" s="1" t="s">
        <v>30</v>
      </c>
      <c r="B33" s="1" t="s">
        <v>34</v>
      </c>
      <c r="C33" s="97">
        <v>300017423</v>
      </c>
      <c r="D33" s="1" t="s">
        <v>60</v>
      </c>
      <c r="E33" s="1" t="s">
        <v>25</v>
      </c>
      <c r="F33" s="44">
        <v>17988</v>
      </c>
      <c r="G33" s="44">
        <v>15375</v>
      </c>
      <c r="H33" s="44">
        <v>2613</v>
      </c>
      <c r="I33" s="45">
        <v>0.66</v>
      </c>
      <c r="J33" s="45">
        <v>61.22</v>
      </c>
      <c r="K33" s="45">
        <v>7.8</v>
      </c>
      <c r="L33" s="45">
        <v>3.99</v>
      </c>
      <c r="M33" s="45">
        <v>2.09</v>
      </c>
      <c r="N33" s="35">
        <v>30</v>
      </c>
      <c r="O33" s="35" t="s">
        <v>26</v>
      </c>
      <c r="P33" s="35">
        <v>60</v>
      </c>
      <c r="Q33" s="35">
        <v>10</v>
      </c>
      <c r="R33" s="225">
        <f t="shared" si="17"/>
        <v>0.70205479452054798</v>
      </c>
      <c r="S33" s="225">
        <f>+H33/(Q33*365)</f>
        <v>0.71589041095890416</v>
      </c>
      <c r="T33" s="225"/>
      <c r="U33" s="78">
        <f t="shared" si="0"/>
        <v>11.876712328767123</v>
      </c>
      <c r="V33" s="78">
        <f t="shared" si="1"/>
        <v>2.3410958904109589</v>
      </c>
      <c r="W33" s="36">
        <f t="shared" si="2"/>
        <v>60</v>
      </c>
      <c r="X33" s="36">
        <f t="shared" si="3"/>
        <v>10</v>
      </c>
      <c r="Y33" s="40">
        <f>IF(B33="Public", 'synthèse v2'!$F$62/1000, IF(B33="Privé non lucratif",'synthèse v2'!$F$61/1000, IF(B33="Privé", 'synthèse v2'!$F$60/1000, "")))</f>
        <v>36.984345997610518</v>
      </c>
      <c r="Z33" s="40">
        <f t="shared" si="18"/>
        <v>18.492172998805259</v>
      </c>
      <c r="AA33" s="40">
        <f t="shared" si="4"/>
        <v>11.876712328767123</v>
      </c>
      <c r="AB33" s="40">
        <f t="shared" si="5"/>
        <v>2.3410958904109589</v>
      </c>
      <c r="AC33" s="34">
        <f t="shared" si="6"/>
        <v>439.25243808120985</v>
      </c>
      <c r="AD33" s="34">
        <f t="shared" si="7"/>
        <v>43.291950212271487</v>
      </c>
      <c r="AE33" s="34">
        <f t="shared" si="8"/>
        <v>482.54438829348135</v>
      </c>
      <c r="AF33" s="36">
        <v>0</v>
      </c>
      <c r="AG33" s="36">
        <v>0</v>
      </c>
      <c r="AH33" s="39">
        <v>0</v>
      </c>
      <c r="AI33" s="39">
        <v>0</v>
      </c>
      <c r="AJ33" s="36">
        <f t="shared" si="9"/>
        <v>0</v>
      </c>
      <c r="AK33" s="36">
        <f t="shared" si="10"/>
        <v>0</v>
      </c>
      <c r="AL33" s="40"/>
      <c r="AM33" s="40"/>
      <c r="AN33" s="34">
        <f t="shared" si="11"/>
        <v>0</v>
      </c>
      <c r="AO33" s="34">
        <f t="shared" si="12"/>
        <v>0</v>
      </c>
      <c r="AP33" s="34">
        <f t="shared" si="13"/>
        <v>0</v>
      </c>
      <c r="AR33" s="34">
        <f t="shared" si="14"/>
        <v>482.54438829348135</v>
      </c>
      <c r="AS33" s="34"/>
      <c r="AT33" s="29">
        <f>+VLOOKUP(C33,dotpop24!$A$10:$K$178,11,0)</f>
        <v>1529686.68</v>
      </c>
      <c r="AU33" s="29">
        <f t="shared" si="15"/>
        <v>23533.64123076923</v>
      </c>
      <c r="AV33" s="29">
        <f t="shared" si="19"/>
        <v>11766.820615384615</v>
      </c>
      <c r="AW33" s="29">
        <f t="shared" si="16"/>
        <v>307049.5423321391</v>
      </c>
    </row>
    <row r="34" spans="1:49">
      <c r="A34" s="1" t="s">
        <v>61</v>
      </c>
      <c r="B34" s="1" t="s">
        <v>23</v>
      </c>
      <c r="C34" s="97">
        <v>300780038</v>
      </c>
      <c r="D34" s="218" t="s">
        <v>1533</v>
      </c>
      <c r="E34" s="1" t="s">
        <v>25</v>
      </c>
      <c r="F34" s="44">
        <v>107204</v>
      </c>
      <c r="G34" s="44">
        <v>87622</v>
      </c>
      <c r="H34" s="44">
        <v>19582</v>
      </c>
      <c r="I34" s="45">
        <v>0.56000000000000005</v>
      </c>
      <c r="J34" s="45">
        <v>63.15</v>
      </c>
      <c r="K34" s="45">
        <v>8.52</v>
      </c>
      <c r="L34" s="45">
        <v>3.58</v>
      </c>
      <c r="M34" s="45">
        <v>1.37</v>
      </c>
      <c r="N34" s="35">
        <v>30</v>
      </c>
      <c r="O34" s="35" t="s">
        <v>26</v>
      </c>
      <c r="P34" s="218">
        <v>335</v>
      </c>
      <c r="Q34" s="218">
        <v>81</v>
      </c>
      <c r="R34" s="225">
        <f t="shared" si="17"/>
        <v>0.71659783275403799</v>
      </c>
      <c r="S34" s="225">
        <f>(H34-(AG34*365*AI34))/(X34*365)</f>
        <v>0.63081253518483771</v>
      </c>
      <c r="T34" s="227" t="s">
        <v>661</v>
      </c>
      <c r="U34" s="78">
        <f t="shared" si="0"/>
        <v>61.439726027397263</v>
      </c>
      <c r="V34" s="78">
        <f t="shared" si="1"/>
        <v>23.300684931506851</v>
      </c>
      <c r="W34" s="220">
        <f t="shared" si="2"/>
        <v>335</v>
      </c>
      <c r="X34" s="220">
        <f t="shared" si="3"/>
        <v>73</v>
      </c>
      <c r="Y34" s="40">
        <f>IF(B34="Public", 'synthèse v2'!$F$62/1000, IF(B34="Privé non lucratif",'synthèse v2'!$F$61/1000, IF(B34="Privé", 'synthèse v2'!$F$60/1000, "")))</f>
        <v>43.762959354365371</v>
      </c>
      <c r="Z34" s="40">
        <f t="shared" si="18"/>
        <v>21.881479677182686</v>
      </c>
      <c r="AA34" s="40">
        <f t="shared" si="4"/>
        <v>61.439726027397263</v>
      </c>
      <c r="AB34" s="40">
        <f t="shared" si="5"/>
        <v>23.300684931506851</v>
      </c>
      <c r="AC34" s="34">
        <f t="shared" si="6"/>
        <v>2688.7842328803308</v>
      </c>
      <c r="AD34" s="34">
        <f t="shared" si="7"/>
        <v>509.85346379320401</v>
      </c>
      <c r="AE34" s="34">
        <f t="shared" si="8"/>
        <v>3198.6376966735347</v>
      </c>
      <c r="AF34" s="220">
        <v>0</v>
      </c>
      <c r="AG34" s="220">
        <v>8</v>
      </c>
      <c r="AH34" s="39">
        <v>0</v>
      </c>
      <c r="AI34" s="39">
        <f>AK2</f>
        <v>0.95</v>
      </c>
      <c r="AJ34" s="36">
        <f t="shared" si="9"/>
        <v>0</v>
      </c>
      <c r="AK34" s="36">
        <f t="shared" si="10"/>
        <v>0</v>
      </c>
      <c r="AL34" s="40">
        <v>64</v>
      </c>
      <c r="AM34" s="40">
        <v>32</v>
      </c>
      <c r="AN34" s="34">
        <f t="shared" si="11"/>
        <v>0</v>
      </c>
      <c r="AO34" s="34">
        <f t="shared" si="12"/>
        <v>0</v>
      </c>
      <c r="AP34" s="34">
        <f t="shared" si="13"/>
        <v>0</v>
      </c>
      <c r="AR34" s="34">
        <f t="shared" si="14"/>
        <v>3198.6376966735347</v>
      </c>
      <c r="AS34" s="34"/>
      <c r="AT34" s="29">
        <f>+VLOOKUP(C34,dotpop24!$A$10:$K$178,11,0)</f>
        <v>16298292.689999999</v>
      </c>
      <c r="AU34" s="29">
        <f t="shared" si="15"/>
        <v>43404.241517976028</v>
      </c>
      <c r="AV34" s="29">
        <f t="shared" si="19"/>
        <v>21702.120758988014</v>
      </c>
      <c r="AW34" s="29">
        <f t="shared" si="16"/>
        <v>3172418.9854421224</v>
      </c>
    </row>
    <row r="35" spans="1:49">
      <c r="A35" s="1" t="s">
        <v>22</v>
      </c>
      <c r="B35" s="1" t="s">
        <v>23</v>
      </c>
      <c r="C35" s="97">
        <v>300780046</v>
      </c>
      <c r="D35" s="1" t="s">
        <v>63</v>
      </c>
      <c r="E35" s="1" t="s">
        <v>25</v>
      </c>
      <c r="F35" s="44">
        <v>16785</v>
      </c>
      <c r="G35" s="44">
        <v>12256</v>
      </c>
      <c r="H35" s="44">
        <v>4529</v>
      </c>
      <c r="I35" s="45">
        <v>0.46600000000000003</v>
      </c>
      <c r="J35" s="45">
        <v>76.95</v>
      </c>
      <c r="K35" s="45">
        <v>8.6300000000000008</v>
      </c>
      <c r="L35" s="45">
        <v>3.17</v>
      </c>
      <c r="M35" s="45">
        <v>3.34</v>
      </c>
      <c r="N35" s="35">
        <v>30</v>
      </c>
      <c r="O35" s="35" t="s">
        <v>26</v>
      </c>
      <c r="P35" s="35">
        <v>35</v>
      </c>
      <c r="Q35" s="35">
        <v>10</v>
      </c>
      <c r="R35" s="225">
        <f t="shared" si="17"/>
        <v>0.9593737769080235</v>
      </c>
      <c r="S35" s="225">
        <f>+H35/(Q35*365)</f>
        <v>1.2408219178082192</v>
      </c>
      <c r="T35" s="225"/>
      <c r="U35" s="78">
        <f t="shared" si="0"/>
        <v>0</v>
      </c>
      <c r="V35" s="78">
        <f t="shared" si="1"/>
        <v>0</v>
      </c>
      <c r="W35" s="36">
        <f t="shared" si="2"/>
        <v>35</v>
      </c>
      <c r="X35" s="36">
        <f t="shared" si="3"/>
        <v>10</v>
      </c>
      <c r="Y35" s="40">
        <f>IF(B35="Public", 'synthèse v2'!$F$62/1000, IF(B35="Privé non lucratif",'synthèse v2'!$F$61/1000, IF(B35="Privé", 'synthèse v2'!$F$60/1000, "")))</f>
        <v>43.762959354365371</v>
      </c>
      <c r="Z35" s="40">
        <f t="shared" si="18"/>
        <v>21.881479677182686</v>
      </c>
      <c r="AA35" s="40">
        <f t="shared" si="4"/>
        <v>0</v>
      </c>
      <c r="AB35" s="40">
        <f t="shared" si="5"/>
        <v>0</v>
      </c>
      <c r="AC35" s="34">
        <f t="shared" si="6"/>
        <v>0</v>
      </c>
      <c r="AD35" s="34">
        <f t="shared" si="7"/>
        <v>0</v>
      </c>
      <c r="AE35" s="34">
        <f t="shared" si="8"/>
        <v>0</v>
      </c>
      <c r="AF35" s="36">
        <v>0</v>
      </c>
      <c r="AG35" s="36">
        <v>0</v>
      </c>
      <c r="AH35" s="39">
        <v>0</v>
      </c>
      <c r="AI35" s="39">
        <v>0</v>
      </c>
      <c r="AJ35" s="36">
        <f t="shared" si="9"/>
        <v>0</v>
      </c>
      <c r="AK35" s="36">
        <f t="shared" si="10"/>
        <v>0</v>
      </c>
      <c r="AL35" s="40"/>
      <c r="AM35" s="40"/>
      <c r="AN35" s="34">
        <f t="shared" si="11"/>
        <v>0</v>
      </c>
      <c r="AO35" s="34">
        <f t="shared" si="12"/>
        <v>0</v>
      </c>
      <c r="AP35" s="34">
        <f t="shared" si="13"/>
        <v>0</v>
      </c>
      <c r="AR35" s="34">
        <f t="shared" si="14"/>
        <v>0</v>
      </c>
      <c r="AS35" s="34"/>
      <c r="AT35" s="29">
        <f>+VLOOKUP(C35,dotpop24!$A$10:$K$178,11,0)</f>
        <v>2717220.26</v>
      </c>
      <c r="AU35" s="29">
        <f t="shared" si="15"/>
        <v>67930.506499999989</v>
      </c>
      <c r="AV35" s="29">
        <f t="shared" si="19"/>
        <v>33965.253249999994</v>
      </c>
      <c r="AW35" s="29">
        <f t="shared" si="16"/>
        <v>0</v>
      </c>
    </row>
    <row r="36" spans="1:49">
      <c r="A36" s="1" t="s">
        <v>22</v>
      </c>
      <c r="B36" s="1" t="s">
        <v>23</v>
      </c>
      <c r="C36" s="97">
        <v>300780053</v>
      </c>
      <c r="D36" s="94" t="s">
        <v>64</v>
      </c>
      <c r="E36" s="1" t="s">
        <v>25</v>
      </c>
      <c r="F36" s="44">
        <v>14103</v>
      </c>
      <c r="G36" s="44">
        <v>9661</v>
      </c>
      <c r="H36" s="44">
        <v>4442</v>
      </c>
      <c r="I36" s="45">
        <v>0.36799999999999999</v>
      </c>
      <c r="J36" s="45">
        <v>67.73</v>
      </c>
      <c r="K36" s="96" t="s">
        <v>504</v>
      </c>
      <c r="L36" s="45">
        <v>2.96</v>
      </c>
      <c r="M36" s="45">
        <v>2.52</v>
      </c>
      <c r="N36" s="35">
        <v>30</v>
      </c>
      <c r="O36" s="35" t="s">
        <v>26</v>
      </c>
      <c r="P36" s="35">
        <v>50</v>
      </c>
      <c r="Q36" s="35">
        <v>25</v>
      </c>
      <c r="R36" s="225">
        <f t="shared" si="17"/>
        <v>0.52936986301369859</v>
      </c>
      <c r="S36" s="225">
        <f>+H36/(Q36*365)</f>
        <v>0.4867945205479452</v>
      </c>
      <c r="T36" s="226" t="s">
        <v>661</v>
      </c>
      <c r="U36" s="78">
        <f t="shared" si="0"/>
        <v>18.531506849315068</v>
      </c>
      <c r="V36" s="78">
        <f t="shared" si="1"/>
        <v>11.580136986301369</v>
      </c>
      <c r="W36" s="36">
        <f t="shared" si="2"/>
        <v>50</v>
      </c>
      <c r="X36" s="36">
        <f t="shared" si="3"/>
        <v>25</v>
      </c>
      <c r="Y36" s="40">
        <f>IF(B36="Public", 'synthèse v2'!$F$62/1000, IF(B36="Privé non lucratif",'synthèse v2'!$F$61/1000, IF(B36="Privé", 'synthèse v2'!$F$60/1000, "")))</f>
        <v>43.762959354365371</v>
      </c>
      <c r="Z36" s="40">
        <f t="shared" ref="Z36" si="20">+Y36/2</f>
        <v>21.881479677182686</v>
      </c>
      <c r="AA36" s="40">
        <f t="shared" si="4"/>
        <v>18.531506849315068</v>
      </c>
      <c r="AB36" s="40">
        <f t="shared" si="5"/>
        <v>11.580136986301369</v>
      </c>
      <c r="AC36" s="34">
        <f t="shared" si="6"/>
        <v>810.9935810217188</v>
      </c>
      <c r="AD36" s="34">
        <f t="shared" si="7"/>
        <v>253.39053212474496</v>
      </c>
      <c r="AE36" s="34">
        <f t="shared" si="8"/>
        <v>1064.3841131464637</v>
      </c>
      <c r="AF36" s="36">
        <v>0</v>
      </c>
      <c r="AG36" s="36">
        <v>0</v>
      </c>
      <c r="AH36" s="39">
        <v>0</v>
      </c>
      <c r="AI36" s="39">
        <v>0</v>
      </c>
      <c r="AJ36" s="36">
        <f t="shared" si="9"/>
        <v>0</v>
      </c>
      <c r="AK36" s="36">
        <f t="shared" si="10"/>
        <v>0</v>
      </c>
      <c r="AL36" s="40"/>
      <c r="AM36" s="40"/>
      <c r="AN36" s="34">
        <f t="shared" si="11"/>
        <v>0</v>
      </c>
      <c r="AO36" s="34">
        <f t="shared" si="12"/>
        <v>0</v>
      </c>
      <c r="AP36" s="34">
        <f t="shared" si="13"/>
        <v>0</v>
      </c>
      <c r="AR36" s="34">
        <f t="shared" si="14"/>
        <v>1064.3841131464637</v>
      </c>
      <c r="AS36" s="34"/>
      <c r="AT36" s="29">
        <f>+VLOOKUP(C36,dotpop24!$A$10:$K$178,11,0)</f>
        <v>1465394</v>
      </c>
      <c r="AU36" s="29">
        <f t="shared" si="15"/>
        <v>23446.304</v>
      </c>
      <c r="AV36" s="29">
        <f t="shared" si="19"/>
        <v>11723.152</v>
      </c>
      <c r="AW36" s="29">
        <f t="shared" si="16"/>
        <v>570251.04923835606</v>
      </c>
    </row>
    <row r="37" spans="1:49">
      <c r="A37" s="1" t="s">
        <v>22</v>
      </c>
      <c r="B37" s="1" t="s">
        <v>23</v>
      </c>
      <c r="C37" s="97">
        <v>300780079</v>
      </c>
      <c r="D37" s="1" t="s">
        <v>65</v>
      </c>
      <c r="E37" s="1" t="s">
        <v>25</v>
      </c>
      <c r="F37" s="44">
        <v>18537</v>
      </c>
      <c r="G37" s="44">
        <v>17508</v>
      </c>
      <c r="H37" s="44">
        <v>1029</v>
      </c>
      <c r="I37" s="45">
        <v>0.36499999999999999</v>
      </c>
      <c r="J37" s="45">
        <v>78.78</v>
      </c>
      <c r="K37" s="45">
        <v>8.81</v>
      </c>
      <c r="L37" s="45">
        <v>3.39</v>
      </c>
      <c r="M37" s="45">
        <v>1.05</v>
      </c>
      <c r="N37" s="35">
        <v>30</v>
      </c>
      <c r="O37" s="35" t="s">
        <v>26</v>
      </c>
      <c r="P37" s="35">
        <v>50</v>
      </c>
      <c r="Q37" s="35">
        <v>4</v>
      </c>
      <c r="R37" s="225">
        <f t="shared" si="17"/>
        <v>0.95934246575342463</v>
      </c>
      <c r="S37" s="225">
        <f>+H37/(Q37*365)</f>
        <v>0.70479452054794522</v>
      </c>
      <c r="T37" s="225"/>
      <c r="U37" s="78">
        <f t="shared" ref="U37:U68" si="21">AJ37+AA37</f>
        <v>0</v>
      </c>
      <c r="V37" s="78">
        <f t="shared" ref="V37:V68" si="22">AK37+AB37</f>
        <v>0.98082191780821915</v>
      </c>
      <c r="W37" s="36">
        <f t="shared" ref="W37:W68" si="23">IFERROR(
   IF(P37 - AF37 &gt; 0,
      P37 - AF37,
      0
   ),
   0
)</f>
        <v>50</v>
      </c>
      <c r="X37" s="36">
        <f t="shared" ref="X37:X68" si="24">IFERROR(
   IF(Q37 - AG37 &gt; 0,
      Q37 - AG37,
      0
   ),
   0
)</f>
        <v>4</v>
      </c>
      <c r="Y37" s="40">
        <f>IF(B37="Public", 'synthèse v2'!$F$62/1000, IF(B37="Privé non lucratif",'synthèse v2'!$F$61/1000, IF(B37="Privé", 'synthèse v2'!$F$60/1000, "")))</f>
        <v>43.762959354365371</v>
      </c>
      <c r="Z37" s="40">
        <f t="shared" si="18"/>
        <v>21.881479677182686</v>
      </c>
      <c r="AA37" s="40">
        <f t="shared" ref="AA37:AA68" si="25">IFERROR(
  IF(
    (((W37*365*$AA$2) - (W37*365*R37)) / 365) &gt; 0,
    ((W37*365*$AA$2) - (W37*365*R37)) / 365,
    0
  ),
  0
)</f>
        <v>0</v>
      </c>
      <c r="AB37" s="40">
        <f t="shared" ref="AB37:AB68" si="26">IFERROR(
  IF(
    (((X37*365*$AB$2) - (X37*365*S37)) / 365) &gt; 0,
    ((X37*365*$AB$2) - (X37*365*S37)) / 365,
    0
  ),
  0
)</f>
        <v>0.98082191780821915</v>
      </c>
      <c r="AC37" s="34">
        <f t="shared" ref="AC37:AC68" si="27">AA37*Y37</f>
        <v>0</v>
      </c>
      <c r="AD37" s="34">
        <f t="shared" ref="AD37:AD68" si="28">AB37*Z37</f>
        <v>21.461834861455895</v>
      </c>
      <c r="AE37" s="34">
        <f t="shared" ref="AE37:AE68" si="29">AC37+AD37</f>
        <v>21.461834861455895</v>
      </c>
      <c r="AF37" s="36">
        <v>0</v>
      </c>
      <c r="AG37" s="36">
        <v>0</v>
      </c>
      <c r="AH37" s="39">
        <v>0</v>
      </c>
      <c r="AI37" s="39">
        <v>0</v>
      </c>
      <c r="AJ37" s="36">
        <f t="shared" ref="AJ37:AJ68" si="30">IF((((AF37*365*$AJ$2) - (AF37*365*AH37)) / 365) &gt; 0,
    ((AF37*365*$AJ$2) - (AF37*365*AH37)) / 365,
    0)</f>
        <v>0</v>
      </c>
      <c r="AK37" s="36">
        <f t="shared" ref="AK37:AK68" si="31">IF(
  (((AG37*365*$AK$2) - (AG37*365*AI37)) / 365) &gt; 0,
  ((AG37*365*$AK$2) - (AG37*365*AI37)) / 365,
  0
)</f>
        <v>0</v>
      </c>
      <c r="AL37" s="40"/>
      <c r="AM37" s="40"/>
      <c r="AN37" s="34">
        <f t="shared" ref="AN37:AN68" si="32">AJ37*AL37</f>
        <v>0</v>
      </c>
      <c r="AO37" s="34">
        <f t="shared" ref="AO37:AO68" si="33">AK37*AM37</f>
        <v>0</v>
      </c>
      <c r="AP37" s="34">
        <f t="shared" ref="AP37:AP68" si="34">AN37 + AO37</f>
        <v>0</v>
      </c>
      <c r="AR37" s="34">
        <f t="shared" ref="AR37:AR68" si="35">AP37+AE37</f>
        <v>21.461834861455895</v>
      </c>
      <c r="AS37" s="34"/>
      <c r="AT37" s="29">
        <f>+VLOOKUP(C37,dotpop24!$A$10:$K$178,11,0)</f>
        <v>2781539.34</v>
      </c>
      <c r="AU37" s="29">
        <f t="shared" ref="AU37:AU68" si="36">+AT37/(P37+Q37*0.5)</f>
        <v>53491.141153846154</v>
      </c>
      <c r="AV37" s="29">
        <f t="shared" si="19"/>
        <v>26745.570576923077</v>
      </c>
      <c r="AW37" s="29">
        <f t="shared" ref="AW37:AW68" si="37">+(AA37*AU37)+(AB37*AV37)</f>
        <v>26232.641826132771</v>
      </c>
    </row>
    <row r="38" spans="1:49">
      <c r="A38" s="1" t="s">
        <v>22</v>
      </c>
      <c r="B38" s="1" t="s">
        <v>23</v>
      </c>
      <c r="C38" s="97">
        <v>300780087</v>
      </c>
      <c r="D38" s="1" t="s">
        <v>66</v>
      </c>
      <c r="E38" s="1" t="s">
        <v>25</v>
      </c>
      <c r="F38" s="44">
        <v>17298</v>
      </c>
      <c r="G38" s="44">
        <v>17298</v>
      </c>
      <c r="H38" s="44">
        <v>0</v>
      </c>
      <c r="I38" s="45">
        <v>0.374</v>
      </c>
      <c r="J38" s="45">
        <v>70.239999999999995</v>
      </c>
      <c r="K38" s="45">
        <v>10.62</v>
      </c>
      <c r="L38" s="45">
        <v>4.07</v>
      </c>
      <c r="M38" s="45">
        <v>1.91</v>
      </c>
      <c r="N38" s="35">
        <v>30</v>
      </c>
      <c r="O38" s="35" t="s">
        <v>26</v>
      </c>
      <c r="P38" s="35">
        <v>44</v>
      </c>
      <c r="Q38" s="35">
        <v>0</v>
      </c>
      <c r="R38" s="225">
        <f t="shared" si="17"/>
        <v>1.0770859277708593</v>
      </c>
      <c r="S38" s="225"/>
      <c r="T38" s="225"/>
      <c r="U38" s="78">
        <f t="shared" si="21"/>
        <v>0</v>
      </c>
      <c r="V38" s="78">
        <f t="shared" si="22"/>
        <v>0</v>
      </c>
      <c r="W38" s="36">
        <f t="shared" si="23"/>
        <v>44</v>
      </c>
      <c r="X38" s="36">
        <f t="shared" si="24"/>
        <v>0</v>
      </c>
      <c r="Y38" s="40">
        <f>IF(B38="Public", 'synthèse v2'!$F$62/1000, IF(B38="Privé non lucratif",'synthèse v2'!$F$61/1000, IF(B38="Privé", 'synthèse v2'!$F$60/1000, "")))</f>
        <v>43.762959354365371</v>
      </c>
      <c r="Z38" s="40">
        <f t="shared" si="18"/>
        <v>21.881479677182686</v>
      </c>
      <c r="AA38" s="40">
        <f t="shared" si="25"/>
        <v>0</v>
      </c>
      <c r="AB38" s="40">
        <f t="shared" si="26"/>
        <v>0</v>
      </c>
      <c r="AC38" s="34">
        <f t="shared" si="27"/>
        <v>0</v>
      </c>
      <c r="AD38" s="34">
        <f t="shared" si="28"/>
        <v>0</v>
      </c>
      <c r="AE38" s="34">
        <f t="shared" si="29"/>
        <v>0</v>
      </c>
      <c r="AF38" s="36">
        <v>0</v>
      </c>
      <c r="AG38" s="36">
        <v>0</v>
      </c>
      <c r="AH38" s="39">
        <v>0</v>
      </c>
      <c r="AI38" s="39">
        <v>0</v>
      </c>
      <c r="AJ38" s="36">
        <f t="shared" si="30"/>
        <v>0</v>
      </c>
      <c r="AK38" s="36">
        <f t="shared" si="31"/>
        <v>0</v>
      </c>
      <c r="AL38" s="40"/>
      <c r="AM38" s="40"/>
      <c r="AN38" s="34">
        <f t="shared" si="32"/>
        <v>0</v>
      </c>
      <c r="AO38" s="34">
        <f t="shared" si="33"/>
        <v>0</v>
      </c>
      <c r="AP38" s="34">
        <f t="shared" si="34"/>
        <v>0</v>
      </c>
      <c r="AR38" s="34">
        <f t="shared" si="35"/>
        <v>0</v>
      </c>
      <c r="AS38" s="34"/>
      <c r="AT38" s="29">
        <f>+VLOOKUP(C38,dotpop24!$A$10:$K$178,11,0)</f>
        <v>1611791.74</v>
      </c>
      <c r="AU38" s="29">
        <f t="shared" si="36"/>
        <v>36631.630454545455</v>
      </c>
      <c r="AV38" s="29">
        <f t="shared" si="19"/>
        <v>18315.815227272727</v>
      </c>
      <c r="AW38" s="29">
        <f t="shared" si="37"/>
        <v>0</v>
      </c>
    </row>
    <row r="39" spans="1:49">
      <c r="A39" s="1" t="s">
        <v>22</v>
      </c>
      <c r="B39" s="1" t="s">
        <v>23</v>
      </c>
      <c r="C39" s="97">
        <v>300780095</v>
      </c>
      <c r="D39" s="1" t="s">
        <v>67</v>
      </c>
      <c r="E39" s="1" t="s">
        <v>25</v>
      </c>
      <c r="F39" s="44">
        <v>7524</v>
      </c>
      <c r="G39" s="44">
        <v>5610</v>
      </c>
      <c r="H39" s="44">
        <v>1914</v>
      </c>
      <c r="I39" s="45">
        <v>0.45500000000000002</v>
      </c>
      <c r="J39" s="45">
        <v>72.94</v>
      </c>
      <c r="K39" s="45">
        <v>7.45</v>
      </c>
      <c r="L39" s="45">
        <v>2.38</v>
      </c>
      <c r="M39" s="45">
        <v>1.32</v>
      </c>
      <c r="N39" s="35">
        <v>30</v>
      </c>
      <c r="O39" s="35" t="s">
        <v>26</v>
      </c>
      <c r="P39" s="35">
        <v>14</v>
      </c>
      <c r="Q39" s="35">
        <v>10</v>
      </c>
      <c r="R39" s="225">
        <f t="shared" si="17"/>
        <v>1.0978473581213308</v>
      </c>
      <c r="S39" s="225">
        <f>+H39/(Q39*365)</f>
        <v>0.52438356164383559</v>
      </c>
      <c r="T39" s="225"/>
      <c r="U39" s="78">
        <f t="shared" si="21"/>
        <v>0</v>
      </c>
      <c r="V39" s="78">
        <f t="shared" si="22"/>
        <v>4.2561643835616438</v>
      </c>
      <c r="W39" s="36">
        <f t="shared" si="23"/>
        <v>14</v>
      </c>
      <c r="X39" s="36">
        <f t="shared" si="24"/>
        <v>10</v>
      </c>
      <c r="Y39" s="40">
        <f>IF(B39="Public", 'synthèse v2'!$F$62/1000, IF(B39="Privé non lucratif",'synthèse v2'!$F$61/1000, IF(B39="Privé", 'synthèse v2'!$F$60/1000, "")))</f>
        <v>43.762959354365371</v>
      </c>
      <c r="Z39" s="40">
        <f t="shared" si="18"/>
        <v>21.881479677182686</v>
      </c>
      <c r="AA39" s="40">
        <f t="shared" si="25"/>
        <v>0</v>
      </c>
      <c r="AB39" s="40">
        <f t="shared" si="26"/>
        <v>4.2561643835616438</v>
      </c>
      <c r="AC39" s="34">
        <f t="shared" si="27"/>
        <v>0</v>
      </c>
      <c r="AD39" s="34">
        <f t="shared" si="28"/>
        <v>93.131174461652876</v>
      </c>
      <c r="AE39" s="34">
        <f t="shared" si="29"/>
        <v>93.131174461652876</v>
      </c>
      <c r="AF39" s="36">
        <v>0</v>
      </c>
      <c r="AG39" s="36">
        <v>0</v>
      </c>
      <c r="AH39" s="39">
        <v>0</v>
      </c>
      <c r="AI39" s="39">
        <v>0</v>
      </c>
      <c r="AJ39" s="36">
        <f t="shared" si="30"/>
        <v>0</v>
      </c>
      <c r="AK39" s="36">
        <f t="shared" si="31"/>
        <v>0</v>
      </c>
      <c r="AL39" s="40"/>
      <c r="AM39" s="40"/>
      <c r="AN39" s="34">
        <f t="shared" si="32"/>
        <v>0</v>
      </c>
      <c r="AO39" s="34">
        <f t="shared" si="33"/>
        <v>0</v>
      </c>
      <c r="AP39" s="34">
        <f t="shared" si="34"/>
        <v>0</v>
      </c>
      <c r="AR39" s="34">
        <f t="shared" si="35"/>
        <v>93.131174461652876</v>
      </c>
      <c r="AS39" s="34"/>
      <c r="AT39" s="29">
        <f>+VLOOKUP(C39,dotpop24!$A$10:$K$178,11,0)</f>
        <v>928588.43</v>
      </c>
      <c r="AU39" s="29">
        <f t="shared" si="36"/>
        <v>48873.075263157894</v>
      </c>
      <c r="AV39" s="29">
        <f t="shared" si="19"/>
        <v>24436.537631578947</v>
      </c>
      <c r="AW39" s="29">
        <f t="shared" si="37"/>
        <v>104005.92112509013</v>
      </c>
    </row>
    <row r="40" spans="1:49">
      <c r="A40" s="1" t="s">
        <v>33</v>
      </c>
      <c r="B40" s="1" t="s">
        <v>34</v>
      </c>
      <c r="C40" s="97">
        <v>300780111</v>
      </c>
      <c r="D40" s="1" t="s">
        <v>68</v>
      </c>
      <c r="E40" s="1" t="s">
        <v>25</v>
      </c>
      <c r="F40" s="44">
        <v>20883</v>
      </c>
      <c r="G40" s="44">
        <v>20883</v>
      </c>
      <c r="H40" s="44">
        <v>0</v>
      </c>
      <c r="I40" s="45">
        <v>0.32200000000000001</v>
      </c>
      <c r="J40" s="45">
        <v>75.989999999999995</v>
      </c>
      <c r="K40" s="45">
        <v>9.0399999999999991</v>
      </c>
      <c r="L40" s="45">
        <v>2.59</v>
      </c>
      <c r="M40" s="45">
        <v>2.35</v>
      </c>
      <c r="N40" s="35">
        <v>30</v>
      </c>
      <c r="O40" s="35" t="s">
        <v>26</v>
      </c>
      <c r="P40" s="35">
        <v>60</v>
      </c>
      <c r="Q40" s="35">
        <v>0</v>
      </c>
      <c r="R40" s="225">
        <f t="shared" si="17"/>
        <v>0.95356164383561648</v>
      </c>
      <c r="S40" s="225"/>
      <c r="T40" s="225"/>
      <c r="U40" s="78">
        <f t="shared" si="21"/>
        <v>0</v>
      </c>
      <c r="V40" s="78">
        <f t="shared" si="22"/>
        <v>0</v>
      </c>
      <c r="W40" s="36">
        <f t="shared" si="23"/>
        <v>60</v>
      </c>
      <c r="X40" s="36">
        <f t="shared" si="24"/>
        <v>0</v>
      </c>
      <c r="Y40" s="40">
        <f>IF(B40="Public", 'synthèse v2'!$F$62/1000, IF(B40="Privé non lucratif",'synthèse v2'!$F$61/1000, IF(B40="Privé", 'synthèse v2'!$F$60/1000, "")))</f>
        <v>36.984345997610518</v>
      </c>
      <c r="Z40" s="40">
        <f t="shared" si="18"/>
        <v>18.492172998805259</v>
      </c>
      <c r="AA40" s="40">
        <f t="shared" si="25"/>
        <v>0</v>
      </c>
      <c r="AB40" s="40">
        <f t="shared" si="26"/>
        <v>0</v>
      </c>
      <c r="AC40" s="34">
        <f t="shared" si="27"/>
        <v>0</v>
      </c>
      <c r="AD40" s="34">
        <f t="shared" si="28"/>
        <v>0</v>
      </c>
      <c r="AE40" s="34">
        <f t="shared" si="29"/>
        <v>0</v>
      </c>
      <c r="AF40" s="36">
        <v>0</v>
      </c>
      <c r="AG40" s="36">
        <v>0</v>
      </c>
      <c r="AH40" s="39">
        <v>0</v>
      </c>
      <c r="AI40" s="39">
        <v>0</v>
      </c>
      <c r="AJ40" s="36">
        <f t="shared" si="30"/>
        <v>0</v>
      </c>
      <c r="AK40" s="36">
        <f t="shared" si="31"/>
        <v>0</v>
      </c>
      <c r="AL40" s="40"/>
      <c r="AM40" s="40"/>
      <c r="AN40" s="34">
        <f t="shared" si="32"/>
        <v>0</v>
      </c>
      <c r="AO40" s="34">
        <f t="shared" si="33"/>
        <v>0</v>
      </c>
      <c r="AP40" s="34">
        <f t="shared" si="34"/>
        <v>0</v>
      </c>
      <c r="AR40" s="34">
        <f t="shared" si="35"/>
        <v>0</v>
      </c>
      <c r="AS40" s="34"/>
      <c r="AT40" s="29">
        <f>+VLOOKUP(C40,dotpop24!$A$10:$K$178,11,0)</f>
        <v>1925510.42</v>
      </c>
      <c r="AU40" s="29">
        <f t="shared" si="36"/>
        <v>32091.840333333334</v>
      </c>
      <c r="AV40" s="29">
        <f t="shared" si="19"/>
        <v>16045.920166666667</v>
      </c>
      <c r="AW40" s="29">
        <f t="shared" si="37"/>
        <v>0</v>
      </c>
    </row>
    <row r="41" spans="1:49">
      <c r="A41" s="1" t="s">
        <v>30</v>
      </c>
      <c r="B41" s="1" t="s">
        <v>30</v>
      </c>
      <c r="C41" s="97">
        <v>300780285</v>
      </c>
      <c r="D41" s="1" t="s">
        <v>69</v>
      </c>
      <c r="E41" s="1" t="s">
        <v>25</v>
      </c>
      <c r="F41" s="44">
        <v>45982</v>
      </c>
      <c r="G41" s="44">
        <v>26231</v>
      </c>
      <c r="H41" s="44">
        <v>19751</v>
      </c>
      <c r="I41" s="45">
        <v>0.45</v>
      </c>
      <c r="J41" s="45">
        <v>64.64</v>
      </c>
      <c r="K41" s="45">
        <v>8.2899999999999991</v>
      </c>
      <c r="L41" s="45">
        <v>3.04</v>
      </c>
      <c r="M41" s="45">
        <v>2.99</v>
      </c>
      <c r="N41" s="35">
        <v>30</v>
      </c>
      <c r="O41" s="35" t="s">
        <v>26</v>
      </c>
      <c r="P41" s="35">
        <v>75</v>
      </c>
      <c r="Q41" s="35">
        <v>22</v>
      </c>
      <c r="R41" s="225">
        <f t="shared" si="17"/>
        <v>0.95821004566210044</v>
      </c>
      <c r="S41" s="225">
        <f>+H41/(Q41*365)</f>
        <v>2.4596513075965132</v>
      </c>
      <c r="T41" s="225"/>
      <c r="U41" s="78">
        <f t="shared" si="21"/>
        <v>0</v>
      </c>
      <c r="V41" s="78">
        <f t="shared" si="22"/>
        <v>0</v>
      </c>
      <c r="W41" s="36">
        <f t="shared" si="23"/>
        <v>75</v>
      </c>
      <c r="X41" s="36">
        <f t="shared" si="24"/>
        <v>22</v>
      </c>
      <c r="Y41" s="40">
        <f>IF(B41="Public", 'synthèse v2'!$F$62/1000, IF(B41="Privé non lucratif",'synthèse v2'!$F$61/1000, IF(B41="Privé", 'synthèse v2'!$F$60/1000, "")))</f>
        <v>26.522545062955601</v>
      </c>
      <c r="Z41" s="40">
        <f t="shared" si="18"/>
        <v>13.2612725314778</v>
      </c>
      <c r="AA41" s="40">
        <f t="shared" si="25"/>
        <v>0</v>
      </c>
      <c r="AB41" s="40">
        <f t="shared" si="26"/>
        <v>0</v>
      </c>
      <c r="AC41" s="34">
        <f t="shared" si="27"/>
        <v>0</v>
      </c>
      <c r="AD41" s="34">
        <f t="shared" si="28"/>
        <v>0</v>
      </c>
      <c r="AE41" s="34">
        <f t="shared" si="29"/>
        <v>0</v>
      </c>
      <c r="AF41" s="36">
        <v>0</v>
      </c>
      <c r="AG41" s="36">
        <v>0</v>
      </c>
      <c r="AH41" s="39">
        <v>0</v>
      </c>
      <c r="AI41" s="39">
        <v>0</v>
      </c>
      <c r="AJ41" s="36">
        <f t="shared" si="30"/>
        <v>0</v>
      </c>
      <c r="AK41" s="36">
        <f t="shared" si="31"/>
        <v>0</v>
      </c>
      <c r="AL41" s="40"/>
      <c r="AM41" s="40"/>
      <c r="AN41" s="34">
        <f t="shared" si="32"/>
        <v>0</v>
      </c>
      <c r="AO41" s="34">
        <f t="shared" si="33"/>
        <v>0</v>
      </c>
      <c r="AP41" s="34">
        <f t="shared" si="34"/>
        <v>0</v>
      </c>
      <c r="AR41" s="34">
        <f t="shared" si="35"/>
        <v>0</v>
      </c>
      <c r="AS41" s="34"/>
      <c r="AT41" s="29">
        <f>+VLOOKUP(C41,dotpop24!$A$10:$K$178,11,0)</f>
        <v>3706155</v>
      </c>
      <c r="AU41" s="29">
        <f t="shared" si="36"/>
        <v>43094.825581395351</v>
      </c>
      <c r="AV41" s="29">
        <f t="shared" si="19"/>
        <v>21547.412790697676</v>
      </c>
      <c r="AW41" s="29">
        <f t="shared" si="37"/>
        <v>0</v>
      </c>
    </row>
    <row r="42" spans="1:49">
      <c r="A42" s="1" t="s">
        <v>30</v>
      </c>
      <c r="B42" s="1" t="s">
        <v>30</v>
      </c>
      <c r="C42" s="97">
        <v>300780442</v>
      </c>
      <c r="D42" s="1" t="s">
        <v>70</v>
      </c>
      <c r="E42" s="1" t="s">
        <v>25</v>
      </c>
      <c r="F42" s="44">
        <v>17588</v>
      </c>
      <c r="G42" s="44">
        <v>17588</v>
      </c>
      <c r="H42" s="44">
        <v>0</v>
      </c>
      <c r="I42" s="45">
        <v>0.41</v>
      </c>
      <c r="J42" s="45">
        <v>78.41</v>
      </c>
      <c r="K42" s="45">
        <v>10.52</v>
      </c>
      <c r="L42" s="45">
        <v>2.86</v>
      </c>
      <c r="M42" s="45">
        <v>0.9</v>
      </c>
      <c r="N42" s="35">
        <v>30</v>
      </c>
      <c r="O42" s="35" t="s">
        <v>26</v>
      </c>
      <c r="P42" s="35">
        <v>59</v>
      </c>
      <c r="Q42" s="35">
        <v>0</v>
      </c>
      <c r="R42" s="225">
        <f t="shared" si="17"/>
        <v>0.81671697237055951</v>
      </c>
      <c r="S42" s="225"/>
      <c r="T42" s="225"/>
      <c r="U42" s="78">
        <f t="shared" si="21"/>
        <v>4.9136986301369863</v>
      </c>
      <c r="V42" s="78">
        <f t="shared" si="22"/>
        <v>0</v>
      </c>
      <c r="W42" s="36">
        <f t="shared" si="23"/>
        <v>59</v>
      </c>
      <c r="X42" s="36">
        <f t="shared" si="24"/>
        <v>0</v>
      </c>
      <c r="Y42" s="40">
        <f>IF(B42="Public", 'synthèse v2'!$F$62/1000, IF(B42="Privé non lucratif",'synthèse v2'!$F$61/1000, IF(B42="Privé", 'synthèse v2'!$F$60/1000, "")))</f>
        <v>26.522545062955601</v>
      </c>
      <c r="Z42" s="40">
        <f t="shared" si="18"/>
        <v>13.2612725314778</v>
      </c>
      <c r="AA42" s="40">
        <f t="shared" si="25"/>
        <v>4.9136986301369863</v>
      </c>
      <c r="AB42" s="40">
        <f t="shared" si="26"/>
        <v>0</v>
      </c>
      <c r="AC42" s="34">
        <f t="shared" si="27"/>
        <v>130.32379334359143</v>
      </c>
      <c r="AD42" s="34">
        <f t="shared" si="28"/>
        <v>0</v>
      </c>
      <c r="AE42" s="34">
        <f t="shared" si="29"/>
        <v>130.32379334359143</v>
      </c>
      <c r="AF42" s="36">
        <v>0</v>
      </c>
      <c r="AG42" s="36">
        <v>0</v>
      </c>
      <c r="AH42" s="39">
        <v>0</v>
      </c>
      <c r="AI42" s="39">
        <v>0</v>
      </c>
      <c r="AJ42" s="36">
        <f t="shared" si="30"/>
        <v>0</v>
      </c>
      <c r="AK42" s="36">
        <f t="shared" si="31"/>
        <v>0</v>
      </c>
      <c r="AL42" s="40"/>
      <c r="AM42" s="40"/>
      <c r="AN42" s="34">
        <f t="shared" si="32"/>
        <v>0</v>
      </c>
      <c r="AO42" s="34">
        <f t="shared" si="33"/>
        <v>0</v>
      </c>
      <c r="AP42" s="34">
        <f t="shared" si="34"/>
        <v>0</v>
      </c>
      <c r="AR42" s="34">
        <f t="shared" si="35"/>
        <v>130.32379334359143</v>
      </c>
      <c r="AS42" s="34"/>
      <c r="AT42" s="29">
        <f>+VLOOKUP(C42,dotpop24!$A$10:$K$178,11,0)</f>
        <v>1330732</v>
      </c>
      <c r="AU42" s="29">
        <f t="shared" si="36"/>
        <v>22554.77966101695</v>
      </c>
      <c r="AV42" s="29">
        <f t="shared" si="19"/>
        <v>11277.389830508475</v>
      </c>
      <c r="AW42" s="29">
        <f t="shared" si="37"/>
        <v>110827.38992338054</v>
      </c>
    </row>
    <row r="43" spans="1:49">
      <c r="A43" s="1" t="s">
        <v>30</v>
      </c>
      <c r="B43" s="1" t="s">
        <v>30</v>
      </c>
      <c r="C43" s="97">
        <v>300780491</v>
      </c>
      <c r="D43" s="1" t="s">
        <v>71</v>
      </c>
      <c r="E43" s="1" t="s">
        <v>25</v>
      </c>
      <c r="F43" s="44">
        <v>32556</v>
      </c>
      <c r="G43" s="44">
        <v>23932</v>
      </c>
      <c r="H43" s="44">
        <v>8624</v>
      </c>
      <c r="I43" s="45">
        <v>0.23899999999999999</v>
      </c>
      <c r="J43" s="45">
        <v>69.599999999999994</v>
      </c>
      <c r="K43" s="45">
        <v>7.44</v>
      </c>
      <c r="L43" s="45">
        <v>3.33</v>
      </c>
      <c r="M43" s="45">
        <v>1.61</v>
      </c>
      <c r="N43" s="35">
        <v>30</v>
      </c>
      <c r="O43" s="35" t="s">
        <v>26</v>
      </c>
      <c r="P43" s="35">
        <v>75</v>
      </c>
      <c r="Q43" s="35">
        <v>30</v>
      </c>
      <c r="R43" s="225">
        <f t="shared" si="17"/>
        <v>0.87422831050228311</v>
      </c>
      <c r="S43" s="225">
        <f>+H43/(Q43*365)</f>
        <v>0.78757990867579908</v>
      </c>
      <c r="T43" s="225"/>
      <c r="U43" s="78">
        <f t="shared" si="21"/>
        <v>1.9328767123287671</v>
      </c>
      <c r="V43" s="78">
        <f t="shared" si="22"/>
        <v>4.8726027397260276</v>
      </c>
      <c r="W43" s="36">
        <f t="shared" si="23"/>
        <v>75</v>
      </c>
      <c r="X43" s="36">
        <f t="shared" si="24"/>
        <v>30</v>
      </c>
      <c r="Y43" s="40">
        <f>IF(B43="Public", 'synthèse v2'!$F$62/1000, IF(B43="Privé non lucratif",'synthèse v2'!$F$61/1000, IF(B43="Privé", 'synthèse v2'!$F$60/1000, "")))</f>
        <v>26.522545062955601</v>
      </c>
      <c r="Z43" s="40">
        <f t="shared" si="18"/>
        <v>13.2612725314778</v>
      </c>
      <c r="AA43" s="40">
        <f t="shared" si="25"/>
        <v>1.9328767123287671</v>
      </c>
      <c r="AB43" s="40">
        <f t="shared" si="26"/>
        <v>4.8726027397260276</v>
      </c>
      <c r="AC43" s="34">
        <f t="shared" si="27"/>
        <v>51.264809703877198</v>
      </c>
      <c r="AD43" s="34">
        <f t="shared" si="28"/>
        <v>64.61691286913225</v>
      </c>
      <c r="AE43" s="34">
        <f t="shared" si="29"/>
        <v>115.88172257300945</v>
      </c>
      <c r="AF43" s="36">
        <v>0</v>
      </c>
      <c r="AG43" s="36">
        <v>0</v>
      </c>
      <c r="AH43" s="39">
        <v>0</v>
      </c>
      <c r="AI43" s="39">
        <v>0</v>
      </c>
      <c r="AJ43" s="36">
        <f t="shared" si="30"/>
        <v>0</v>
      </c>
      <c r="AK43" s="36">
        <f t="shared" si="31"/>
        <v>0</v>
      </c>
      <c r="AL43" s="40"/>
      <c r="AM43" s="40"/>
      <c r="AN43" s="34">
        <f t="shared" si="32"/>
        <v>0</v>
      </c>
      <c r="AO43" s="34">
        <f t="shared" si="33"/>
        <v>0</v>
      </c>
      <c r="AP43" s="34">
        <f t="shared" si="34"/>
        <v>0</v>
      </c>
      <c r="AR43" s="34">
        <f t="shared" si="35"/>
        <v>115.88172257300945</v>
      </c>
      <c r="AS43" s="34"/>
      <c r="AT43" s="29">
        <f>+VLOOKUP(C43,dotpop24!$A$10:$K$178,11,0)</f>
        <v>2021002</v>
      </c>
      <c r="AU43" s="29">
        <f t="shared" si="36"/>
        <v>22455.577777777777</v>
      </c>
      <c r="AV43" s="29">
        <f t="shared" si="19"/>
        <v>11227.788888888888</v>
      </c>
      <c r="AW43" s="29">
        <f t="shared" si="37"/>
        <v>98112.418249619484</v>
      </c>
    </row>
    <row r="44" spans="1:49">
      <c r="A44" s="1" t="s">
        <v>22</v>
      </c>
      <c r="B44" s="1" t="s">
        <v>23</v>
      </c>
      <c r="C44" s="97">
        <v>300781010</v>
      </c>
      <c r="D44" s="1" t="s">
        <v>72</v>
      </c>
      <c r="E44" s="1" t="s">
        <v>25</v>
      </c>
      <c r="F44" s="44">
        <v>6472</v>
      </c>
      <c r="G44" s="44">
        <v>6384</v>
      </c>
      <c r="H44" s="44">
        <v>88</v>
      </c>
      <c r="I44" s="45">
        <v>0.433</v>
      </c>
      <c r="J44" s="45">
        <v>77.89</v>
      </c>
      <c r="K44" s="45">
        <v>10.58</v>
      </c>
      <c r="L44" s="45">
        <v>3.62</v>
      </c>
      <c r="M44" s="45">
        <v>0.42</v>
      </c>
      <c r="N44" s="35">
        <v>30</v>
      </c>
      <c r="O44" s="35" t="s">
        <v>26</v>
      </c>
      <c r="P44" s="35">
        <v>34</v>
      </c>
      <c r="Q44" s="35">
        <v>0</v>
      </c>
      <c r="R44" s="225">
        <f t="shared" si="17"/>
        <v>0.51442385173247385</v>
      </c>
      <c r="S44" s="225"/>
      <c r="T44" s="225"/>
      <c r="U44" s="78">
        <f t="shared" si="21"/>
        <v>13.109589041095891</v>
      </c>
      <c r="V44" s="78">
        <f t="shared" si="22"/>
        <v>0</v>
      </c>
      <c r="W44" s="36">
        <f t="shared" si="23"/>
        <v>34</v>
      </c>
      <c r="X44" s="36">
        <f t="shared" si="24"/>
        <v>0</v>
      </c>
      <c r="Y44" s="40">
        <f>IF(B44="Public", 'synthèse v2'!$F$62/1000, IF(B44="Privé non lucratif",'synthèse v2'!$F$61/1000, IF(B44="Privé", 'synthèse v2'!$F$60/1000, "")))</f>
        <v>43.762959354365371</v>
      </c>
      <c r="Z44" s="40">
        <f t="shared" si="18"/>
        <v>21.881479677182686</v>
      </c>
      <c r="AA44" s="40">
        <f t="shared" si="25"/>
        <v>13.109589041095891</v>
      </c>
      <c r="AB44" s="40">
        <f t="shared" si="26"/>
        <v>0</v>
      </c>
      <c r="AC44" s="34">
        <f t="shared" si="27"/>
        <v>573.71441235791315</v>
      </c>
      <c r="AD44" s="34">
        <f t="shared" si="28"/>
        <v>0</v>
      </c>
      <c r="AE44" s="34">
        <f t="shared" si="29"/>
        <v>573.71441235791315</v>
      </c>
      <c r="AF44" s="36">
        <v>0</v>
      </c>
      <c r="AG44" s="36">
        <v>0</v>
      </c>
      <c r="AH44" s="39">
        <v>0</v>
      </c>
      <c r="AI44" s="39">
        <v>0</v>
      </c>
      <c r="AJ44" s="36">
        <f t="shared" si="30"/>
        <v>0</v>
      </c>
      <c r="AK44" s="36">
        <f t="shared" si="31"/>
        <v>0</v>
      </c>
      <c r="AL44" s="40"/>
      <c r="AM44" s="40"/>
      <c r="AN44" s="34">
        <f t="shared" si="32"/>
        <v>0</v>
      </c>
      <c r="AO44" s="34">
        <f t="shared" si="33"/>
        <v>0</v>
      </c>
      <c r="AP44" s="34">
        <f t="shared" si="34"/>
        <v>0</v>
      </c>
      <c r="AR44" s="34">
        <f t="shared" si="35"/>
        <v>573.71441235791315</v>
      </c>
      <c r="AS44" s="34"/>
      <c r="AT44" s="29">
        <f>+VLOOKUP(C44,dotpop24!$A$10:$K$178,11,0)</f>
        <v>1346916.85</v>
      </c>
      <c r="AU44" s="29">
        <f t="shared" si="36"/>
        <v>39615.201470588239</v>
      </c>
      <c r="AV44" s="29">
        <f t="shared" si="19"/>
        <v>19807.60073529412</v>
      </c>
      <c r="AW44" s="29">
        <f t="shared" si="37"/>
        <v>519339.01105962938</v>
      </c>
    </row>
    <row r="45" spans="1:49">
      <c r="A45" s="1" t="s">
        <v>30</v>
      </c>
      <c r="B45" s="1" t="s">
        <v>30</v>
      </c>
      <c r="C45" s="97">
        <v>300781440</v>
      </c>
      <c r="D45" s="1" t="s">
        <v>73</v>
      </c>
      <c r="E45" s="1" t="s">
        <v>25</v>
      </c>
      <c r="F45" s="44">
        <v>16210</v>
      </c>
      <c r="G45" s="44">
        <v>16210</v>
      </c>
      <c r="H45" s="44">
        <v>0</v>
      </c>
      <c r="I45" s="45">
        <v>0.45900000000000002</v>
      </c>
      <c r="J45" s="45">
        <v>73.11</v>
      </c>
      <c r="K45" s="45">
        <v>8.92</v>
      </c>
      <c r="L45" s="45">
        <v>2.83</v>
      </c>
      <c r="M45" s="45">
        <v>0.6</v>
      </c>
      <c r="N45" s="35">
        <v>30</v>
      </c>
      <c r="O45" s="35" t="s">
        <v>26</v>
      </c>
      <c r="P45" s="35">
        <v>63</v>
      </c>
      <c r="Q45" s="35">
        <v>0</v>
      </c>
      <c r="R45" s="225">
        <f t="shared" si="17"/>
        <v>0.70493585562078709</v>
      </c>
      <c r="S45" s="225"/>
      <c r="T45" s="225"/>
      <c r="U45" s="78">
        <f t="shared" si="21"/>
        <v>12.289041095890411</v>
      </c>
      <c r="V45" s="78">
        <f t="shared" si="22"/>
        <v>0</v>
      </c>
      <c r="W45" s="36">
        <f t="shared" si="23"/>
        <v>63</v>
      </c>
      <c r="X45" s="36">
        <f t="shared" si="24"/>
        <v>0</v>
      </c>
      <c r="Y45" s="40">
        <f>IF(B45="Public", 'synthèse v2'!$F$62/1000, IF(B45="Privé non lucratif",'synthèse v2'!$F$61/1000, IF(B45="Privé", 'synthèse v2'!$F$60/1000, "")))</f>
        <v>26.522545062955601</v>
      </c>
      <c r="Z45" s="40">
        <f t="shared" si="18"/>
        <v>13.2612725314778</v>
      </c>
      <c r="AA45" s="40">
        <f t="shared" si="25"/>
        <v>12.289041095890411</v>
      </c>
      <c r="AB45" s="40">
        <f t="shared" si="26"/>
        <v>0</v>
      </c>
      <c r="AC45" s="34">
        <f t="shared" si="27"/>
        <v>325.93664624626672</v>
      </c>
      <c r="AD45" s="34">
        <f t="shared" si="28"/>
        <v>0</v>
      </c>
      <c r="AE45" s="34">
        <f t="shared" si="29"/>
        <v>325.93664624626672</v>
      </c>
      <c r="AF45" s="36">
        <v>0</v>
      </c>
      <c r="AG45" s="36">
        <v>0</v>
      </c>
      <c r="AH45" s="39">
        <v>0</v>
      </c>
      <c r="AI45" s="39">
        <v>0</v>
      </c>
      <c r="AJ45" s="36">
        <f t="shared" si="30"/>
        <v>0</v>
      </c>
      <c r="AK45" s="36">
        <f t="shared" si="31"/>
        <v>0</v>
      </c>
      <c r="AL45" s="40"/>
      <c r="AM45" s="40"/>
      <c r="AN45" s="34">
        <f t="shared" si="32"/>
        <v>0</v>
      </c>
      <c r="AO45" s="34">
        <f t="shared" si="33"/>
        <v>0</v>
      </c>
      <c r="AP45" s="34">
        <f t="shared" si="34"/>
        <v>0</v>
      </c>
      <c r="AR45" s="34">
        <f t="shared" si="35"/>
        <v>325.93664624626672</v>
      </c>
      <c r="AS45" s="34"/>
      <c r="AT45" s="29">
        <f>+VLOOKUP(C45,dotpop24!$A$10:$K$178,11,0)</f>
        <v>1192590.17</v>
      </c>
      <c r="AU45" s="29">
        <f t="shared" si="36"/>
        <v>18930.002698412696</v>
      </c>
      <c r="AV45" s="29">
        <f t="shared" si="19"/>
        <v>9465.0013492063481</v>
      </c>
      <c r="AW45" s="29">
        <f t="shared" si="37"/>
        <v>232631.58110611001</v>
      </c>
    </row>
    <row r="46" spans="1:49">
      <c r="A46" s="1" t="s">
        <v>33</v>
      </c>
      <c r="B46" s="1" t="s">
        <v>34</v>
      </c>
      <c r="C46" s="97">
        <v>300786274</v>
      </c>
      <c r="D46" s="1" t="s">
        <v>74</v>
      </c>
      <c r="E46" s="1" t="s">
        <v>25</v>
      </c>
      <c r="F46" s="44">
        <v>7799</v>
      </c>
      <c r="G46" s="44">
        <v>6076</v>
      </c>
      <c r="H46" s="44">
        <v>1723</v>
      </c>
      <c r="I46" s="45">
        <v>0.41299999999999998</v>
      </c>
      <c r="J46" s="45">
        <v>63.23</v>
      </c>
      <c r="K46" s="45">
        <v>8.83</v>
      </c>
      <c r="L46" s="45">
        <v>4.91</v>
      </c>
      <c r="M46" s="45">
        <v>4.1399999999999997</v>
      </c>
      <c r="N46" s="35">
        <v>30</v>
      </c>
      <c r="O46" s="35" t="s">
        <v>26</v>
      </c>
      <c r="P46" s="35">
        <v>20</v>
      </c>
      <c r="Q46" s="35">
        <v>8</v>
      </c>
      <c r="R46" s="225">
        <f t="shared" si="17"/>
        <v>0.83232876712328763</v>
      </c>
      <c r="S46" s="225">
        <f>+H46/(Q46*365)</f>
        <v>0.59006849315068488</v>
      </c>
      <c r="T46" s="225"/>
      <c r="U46" s="78">
        <f t="shared" si="21"/>
        <v>1.3534246575342466</v>
      </c>
      <c r="V46" s="78">
        <f t="shared" si="22"/>
        <v>2.879452054794521</v>
      </c>
      <c r="W46" s="36">
        <f t="shared" si="23"/>
        <v>20</v>
      </c>
      <c r="X46" s="36">
        <f t="shared" si="24"/>
        <v>8</v>
      </c>
      <c r="Y46" s="40">
        <f>IF(B46="Public", 'synthèse v2'!$F$62/1000, IF(B46="Privé non lucratif",'synthèse v2'!$F$61/1000, IF(B46="Privé", 'synthèse v2'!$F$60/1000, "")))</f>
        <v>36.984345997610518</v>
      </c>
      <c r="Z46" s="40">
        <f t="shared" si="18"/>
        <v>18.492172998805259</v>
      </c>
      <c r="AA46" s="40">
        <f t="shared" si="25"/>
        <v>1.3534246575342466</v>
      </c>
      <c r="AB46" s="40">
        <f t="shared" si="26"/>
        <v>2.879452054794521</v>
      </c>
      <c r="AC46" s="34">
        <f t="shared" si="27"/>
        <v>50.055525815944101</v>
      </c>
      <c r="AD46" s="34">
        <f t="shared" si="28"/>
        <v>53.24732553902556</v>
      </c>
      <c r="AE46" s="34">
        <f t="shared" si="29"/>
        <v>103.30285135496966</v>
      </c>
      <c r="AF46" s="36">
        <v>0</v>
      </c>
      <c r="AG46" s="36">
        <v>0</v>
      </c>
      <c r="AH46" s="39">
        <v>0</v>
      </c>
      <c r="AI46" s="39">
        <v>0</v>
      </c>
      <c r="AJ46" s="36">
        <f t="shared" si="30"/>
        <v>0</v>
      </c>
      <c r="AK46" s="36">
        <f t="shared" si="31"/>
        <v>0</v>
      </c>
      <c r="AL46" s="40"/>
      <c r="AM46" s="40"/>
      <c r="AN46" s="34">
        <f t="shared" si="32"/>
        <v>0</v>
      </c>
      <c r="AO46" s="34">
        <f t="shared" si="33"/>
        <v>0</v>
      </c>
      <c r="AP46" s="34">
        <f t="shared" si="34"/>
        <v>0</v>
      </c>
      <c r="AR46" s="34">
        <f t="shared" si="35"/>
        <v>103.30285135496966</v>
      </c>
      <c r="AS46" s="34"/>
      <c r="AT46" s="29">
        <f>+VLOOKUP(C46,dotpop24!$A$10:$K$178,11,0)</f>
        <v>1667786.71</v>
      </c>
      <c r="AU46" s="29">
        <f t="shared" si="36"/>
        <v>69491.112916666665</v>
      </c>
      <c r="AV46" s="29">
        <f t="shared" si="19"/>
        <v>34745.556458333333</v>
      </c>
      <c r="AW46" s="29">
        <f t="shared" si="37"/>
        <v>194099.14963984018</v>
      </c>
    </row>
    <row r="47" spans="1:49">
      <c r="A47" s="1" t="s">
        <v>33</v>
      </c>
      <c r="B47" s="1" t="s">
        <v>34</v>
      </c>
      <c r="C47" s="97">
        <v>310014329</v>
      </c>
      <c r="D47" s="1" t="s">
        <v>75</v>
      </c>
      <c r="E47" s="1" t="s">
        <v>25</v>
      </c>
      <c r="F47" s="44">
        <v>3273</v>
      </c>
      <c r="G47" s="44">
        <v>3273</v>
      </c>
      <c r="H47" s="44">
        <v>0</v>
      </c>
      <c r="I47" s="45">
        <v>0.48</v>
      </c>
      <c r="J47" s="45">
        <v>59.84</v>
      </c>
      <c r="K47" s="45">
        <v>4.9400000000000004</v>
      </c>
      <c r="L47" s="45">
        <v>2.4900000000000002</v>
      </c>
      <c r="M47" s="45">
        <v>1.9</v>
      </c>
      <c r="N47" s="35">
        <v>31</v>
      </c>
      <c r="O47" s="35" t="s">
        <v>26</v>
      </c>
      <c r="P47" s="35">
        <v>15</v>
      </c>
      <c r="Q47" s="35">
        <v>0</v>
      </c>
      <c r="R47" s="225">
        <f t="shared" si="17"/>
        <v>0.59780821917808225</v>
      </c>
      <c r="S47" s="225"/>
      <c r="T47" s="225"/>
      <c r="U47" s="78">
        <f t="shared" si="21"/>
        <v>4.5328767123287657</v>
      </c>
      <c r="V47" s="78">
        <f t="shared" si="22"/>
        <v>0</v>
      </c>
      <c r="W47" s="36">
        <f t="shared" si="23"/>
        <v>15</v>
      </c>
      <c r="X47" s="36">
        <f t="shared" si="24"/>
        <v>0</v>
      </c>
      <c r="Y47" s="40">
        <f>IF(B47="Public", 'synthèse v2'!$F$62/1000, IF(B47="Privé non lucratif",'synthèse v2'!$F$61/1000, IF(B47="Privé", 'synthèse v2'!$F$60/1000, "")))</f>
        <v>36.984345997610518</v>
      </c>
      <c r="Z47" s="40">
        <f t="shared" si="18"/>
        <v>18.492172998805259</v>
      </c>
      <c r="AA47" s="40">
        <f t="shared" si="25"/>
        <v>4.5328767123287657</v>
      </c>
      <c r="AB47" s="40">
        <f t="shared" si="26"/>
        <v>0</v>
      </c>
      <c r="AC47" s="34">
        <f t="shared" si="27"/>
        <v>167.6454806932783</v>
      </c>
      <c r="AD47" s="34">
        <f t="shared" si="28"/>
        <v>0</v>
      </c>
      <c r="AE47" s="34">
        <f t="shared" si="29"/>
        <v>167.6454806932783</v>
      </c>
      <c r="AF47" s="36">
        <v>0</v>
      </c>
      <c r="AG47" s="36">
        <v>0</v>
      </c>
      <c r="AH47" s="39">
        <v>0</v>
      </c>
      <c r="AI47" s="39">
        <v>0</v>
      </c>
      <c r="AJ47" s="36">
        <f t="shared" si="30"/>
        <v>0</v>
      </c>
      <c r="AK47" s="36">
        <f t="shared" si="31"/>
        <v>0</v>
      </c>
      <c r="AL47" s="40"/>
      <c r="AM47" s="40"/>
      <c r="AN47" s="34">
        <f t="shared" si="32"/>
        <v>0</v>
      </c>
      <c r="AO47" s="34">
        <f t="shared" si="33"/>
        <v>0</v>
      </c>
      <c r="AP47" s="34">
        <f t="shared" si="34"/>
        <v>0</v>
      </c>
      <c r="AR47" s="34">
        <f t="shared" si="35"/>
        <v>167.6454806932783</v>
      </c>
      <c r="AS47" s="34"/>
      <c r="AT47" s="29">
        <f>+VLOOKUP(C47,dotpop24!$A$10:$K$178,11,0)</f>
        <v>1243549.19</v>
      </c>
      <c r="AU47" s="29">
        <f t="shared" si="36"/>
        <v>82903.279333333325</v>
      </c>
      <c r="AV47" s="29">
        <f t="shared" si="19"/>
        <v>41451.639666666662</v>
      </c>
      <c r="AW47" s="29">
        <f t="shared" si="37"/>
        <v>375790.34426575329</v>
      </c>
    </row>
    <row r="48" spans="1:49">
      <c r="A48" s="1" t="s">
        <v>30</v>
      </c>
      <c r="B48" s="1" t="s">
        <v>30</v>
      </c>
      <c r="C48" s="97">
        <v>310020938</v>
      </c>
      <c r="D48" s="1" t="s">
        <v>76</v>
      </c>
      <c r="E48" s="1" t="s">
        <v>25</v>
      </c>
      <c r="F48" s="44">
        <v>49031</v>
      </c>
      <c r="G48" s="44">
        <v>43077</v>
      </c>
      <c r="H48" s="44">
        <v>5954</v>
      </c>
      <c r="I48" s="45">
        <v>0.27</v>
      </c>
      <c r="J48" s="45">
        <v>84.14</v>
      </c>
      <c r="K48" s="45">
        <v>10.3</v>
      </c>
      <c r="L48" s="45">
        <v>3.83</v>
      </c>
      <c r="M48" s="45">
        <v>1.71</v>
      </c>
      <c r="N48" s="35">
        <v>31</v>
      </c>
      <c r="O48" s="35" t="s">
        <v>26</v>
      </c>
      <c r="P48" s="35">
        <v>115</v>
      </c>
      <c r="Q48" s="35">
        <v>10</v>
      </c>
      <c r="R48" s="225">
        <f t="shared" si="17"/>
        <v>1.0262537224538415</v>
      </c>
      <c r="S48" s="225">
        <f>+H48/(Q48*365)</f>
        <v>1.6312328767123287</v>
      </c>
      <c r="T48" s="225"/>
      <c r="U48" s="78">
        <f t="shared" si="21"/>
        <v>0</v>
      </c>
      <c r="V48" s="78">
        <f t="shared" si="22"/>
        <v>0</v>
      </c>
      <c r="W48" s="36">
        <f t="shared" si="23"/>
        <v>115</v>
      </c>
      <c r="X48" s="36">
        <f t="shared" si="24"/>
        <v>10</v>
      </c>
      <c r="Y48" s="40">
        <f>IF(B48="Public", 'synthèse v2'!$F$62/1000, IF(B48="Privé non lucratif",'synthèse v2'!$F$61/1000, IF(B48="Privé", 'synthèse v2'!$F$60/1000, "")))</f>
        <v>26.522545062955601</v>
      </c>
      <c r="Z48" s="40">
        <f t="shared" si="18"/>
        <v>13.2612725314778</v>
      </c>
      <c r="AA48" s="40">
        <f t="shared" si="25"/>
        <v>0</v>
      </c>
      <c r="AB48" s="40">
        <f t="shared" si="26"/>
        <v>0</v>
      </c>
      <c r="AC48" s="34">
        <f t="shared" si="27"/>
        <v>0</v>
      </c>
      <c r="AD48" s="34">
        <f t="shared" si="28"/>
        <v>0</v>
      </c>
      <c r="AE48" s="34">
        <f t="shared" si="29"/>
        <v>0</v>
      </c>
      <c r="AF48" s="36">
        <v>0</v>
      </c>
      <c r="AG48" s="36">
        <v>0</v>
      </c>
      <c r="AH48" s="39">
        <v>0</v>
      </c>
      <c r="AI48" s="39">
        <v>0</v>
      </c>
      <c r="AJ48" s="36">
        <f t="shared" si="30"/>
        <v>0</v>
      </c>
      <c r="AK48" s="36">
        <f t="shared" si="31"/>
        <v>0</v>
      </c>
      <c r="AL48" s="40"/>
      <c r="AM48" s="40"/>
      <c r="AN48" s="34">
        <f t="shared" si="32"/>
        <v>0</v>
      </c>
      <c r="AO48" s="34">
        <f t="shared" si="33"/>
        <v>0</v>
      </c>
      <c r="AP48" s="34">
        <f t="shared" si="34"/>
        <v>0</v>
      </c>
      <c r="AR48" s="34">
        <f t="shared" si="35"/>
        <v>0</v>
      </c>
      <c r="AS48" s="34"/>
      <c r="AT48" s="29">
        <f>+VLOOKUP(C48,dotpop24!$A$10:$K$178,11,0)</f>
        <v>4160004</v>
      </c>
      <c r="AU48" s="29">
        <f t="shared" si="36"/>
        <v>34666.699999999997</v>
      </c>
      <c r="AV48" s="29">
        <f t="shared" si="19"/>
        <v>17333.349999999999</v>
      </c>
      <c r="AW48" s="29">
        <f t="shared" si="37"/>
        <v>0</v>
      </c>
    </row>
    <row r="49" spans="1:49">
      <c r="A49" s="1" t="s">
        <v>30</v>
      </c>
      <c r="B49" s="1" t="s">
        <v>30</v>
      </c>
      <c r="C49" s="97">
        <v>310021571</v>
      </c>
      <c r="D49" s="1" t="s">
        <v>77</v>
      </c>
      <c r="E49" s="1" t="s">
        <v>25</v>
      </c>
      <c r="F49" s="44">
        <v>42844</v>
      </c>
      <c r="G49" s="44">
        <v>40074</v>
      </c>
      <c r="H49" s="44">
        <v>2770</v>
      </c>
      <c r="I49" s="45">
        <v>0.28000000000000003</v>
      </c>
      <c r="J49" s="45">
        <v>83.78</v>
      </c>
      <c r="K49" s="45">
        <v>10.82</v>
      </c>
      <c r="L49" s="45">
        <v>4.93</v>
      </c>
      <c r="M49" s="45">
        <v>1.86</v>
      </c>
      <c r="N49" s="35">
        <v>31</v>
      </c>
      <c r="O49" s="35" t="s">
        <v>26</v>
      </c>
      <c r="P49" s="35">
        <v>113</v>
      </c>
      <c r="Q49" s="35">
        <v>15</v>
      </c>
      <c r="R49" s="225">
        <f t="shared" si="17"/>
        <v>0.97160867983998056</v>
      </c>
      <c r="S49" s="225">
        <f>+H49/(Q49*365)</f>
        <v>0.50593607305936072</v>
      </c>
      <c r="T49" s="225"/>
      <c r="U49" s="78">
        <f t="shared" si="21"/>
        <v>0</v>
      </c>
      <c r="V49" s="78">
        <f t="shared" si="22"/>
        <v>6.6609589041095889</v>
      </c>
      <c r="W49" s="36">
        <f t="shared" si="23"/>
        <v>113</v>
      </c>
      <c r="X49" s="36">
        <f t="shared" si="24"/>
        <v>15</v>
      </c>
      <c r="Y49" s="40">
        <f>IF(B49="Public", 'synthèse v2'!$F$62/1000, IF(B49="Privé non lucratif",'synthèse v2'!$F$61/1000, IF(B49="Privé", 'synthèse v2'!$F$60/1000, "")))</f>
        <v>26.522545062955601</v>
      </c>
      <c r="Z49" s="40">
        <f t="shared" si="18"/>
        <v>13.2612725314778</v>
      </c>
      <c r="AA49" s="40">
        <f t="shared" si="25"/>
        <v>0</v>
      </c>
      <c r="AB49" s="40">
        <f t="shared" si="26"/>
        <v>6.6609589041095889</v>
      </c>
      <c r="AC49" s="34">
        <f t="shared" si="27"/>
        <v>0</v>
      </c>
      <c r="AD49" s="34">
        <f t="shared" si="28"/>
        <v>88.332791348370961</v>
      </c>
      <c r="AE49" s="34">
        <f t="shared" si="29"/>
        <v>88.332791348370961</v>
      </c>
      <c r="AF49" s="36">
        <v>0</v>
      </c>
      <c r="AG49" s="36">
        <v>0</v>
      </c>
      <c r="AH49" s="39">
        <v>0</v>
      </c>
      <c r="AI49" s="39">
        <v>0</v>
      </c>
      <c r="AJ49" s="36">
        <f t="shared" si="30"/>
        <v>0</v>
      </c>
      <c r="AK49" s="36">
        <f t="shared" si="31"/>
        <v>0</v>
      </c>
      <c r="AL49" s="40"/>
      <c r="AM49" s="40"/>
      <c r="AN49" s="34">
        <f t="shared" si="32"/>
        <v>0</v>
      </c>
      <c r="AO49" s="34">
        <f t="shared" si="33"/>
        <v>0</v>
      </c>
      <c r="AP49" s="34">
        <f t="shared" si="34"/>
        <v>0</v>
      </c>
      <c r="AR49" s="34">
        <f t="shared" si="35"/>
        <v>88.332791348370961</v>
      </c>
      <c r="AS49" s="34"/>
      <c r="AT49" s="29">
        <f>+VLOOKUP(C49,dotpop24!$A$10:$K$178,11,0)</f>
        <v>3083998.81</v>
      </c>
      <c r="AU49" s="29">
        <f t="shared" si="36"/>
        <v>25593.35112033195</v>
      </c>
      <c r="AV49" s="29">
        <f t="shared" si="19"/>
        <v>12796.675560165975</v>
      </c>
      <c r="AW49" s="29">
        <f t="shared" si="37"/>
        <v>85238.130015489107</v>
      </c>
    </row>
    <row r="50" spans="1:49">
      <c r="A50" s="1" t="s">
        <v>30</v>
      </c>
      <c r="B50" s="1" t="s">
        <v>30</v>
      </c>
      <c r="C50" s="97">
        <v>310023007</v>
      </c>
      <c r="D50" s="1" t="s">
        <v>78</v>
      </c>
      <c r="E50" s="1" t="s">
        <v>25</v>
      </c>
      <c r="F50" s="44">
        <v>11737</v>
      </c>
      <c r="G50" s="44">
        <v>11737</v>
      </c>
      <c r="H50" s="44">
        <v>0</v>
      </c>
      <c r="I50" s="45">
        <v>0.8</v>
      </c>
      <c r="J50" s="45">
        <v>46.19</v>
      </c>
      <c r="K50" s="45">
        <v>5.26</v>
      </c>
      <c r="L50" s="45">
        <v>5.51</v>
      </c>
      <c r="M50" s="45">
        <v>1.94</v>
      </c>
      <c r="N50" s="35">
        <v>31</v>
      </c>
      <c r="O50" s="35" t="s">
        <v>26</v>
      </c>
      <c r="P50" s="35">
        <v>44</v>
      </c>
      <c r="Q50" s="35">
        <v>0</v>
      </c>
      <c r="R50" s="225">
        <f t="shared" si="17"/>
        <v>0.73082191780821915</v>
      </c>
      <c r="S50" s="225"/>
      <c r="T50" s="225"/>
      <c r="U50" s="78">
        <f t="shared" si="21"/>
        <v>7.4438356164383563</v>
      </c>
      <c r="V50" s="78">
        <f t="shared" si="22"/>
        <v>0</v>
      </c>
      <c r="W50" s="36">
        <f t="shared" si="23"/>
        <v>44</v>
      </c>
      <c r="X50" s="36">
        <f t="shared" si="24"/>
        <v>0</v>
      </c>
      <c r="Y50" s="40">
        <f>IF(B50="Public", 'synthèse v2'!$F$62/1000, IF(B50="Privé non lucratif",'synthèse v2'!$F$61/1000, IF(B50="Privé", 'synthèse v2'!$F$60/1000, "")))</f>
        <v>26.522545062955601</v>
      </c>
      <c r="Z50" s="40">
        <f t="shared" si="18"/>
        <v>13.2612725314778</v>
      </c>
      <c r="AA50" s="40">
        <f t="shared" si="25"/>
        <v>7.4438356164383563</v>
      </c>
      <c r="AB50" s="40">
        <f t="shared" si="26"/>
        <v>0</v>
      </c>
      <c r="AC50" s="34">
        <f t="shared" si="27"/>
        <v>197.4294655782202</v>
      </c>
      <c r="AD50" s="34">
        <f t="shared" si="28"/>
        <v>0</v>
      </c>
      <c r="AE50" s="34">
        <f t="shared" si="29"/>
        <v>197.4294655782202</v>
      </c>
      <c r="AF50" s="36">
        <v>0</v>
      </c>
      <c r="AG50" s="36">
        <v>0</v>
      </c>
      <c r="AH50" s="39">
        <v>0</v>
      </c>
      <c r="AI50" s="39">
        <v>0</v>
      </c>
      <c r="AJ50" s="36">
        <f t="shared" si="30"/>
        <v>0</v>
      </c>
      <c r="AK50" s="36">
        <f t="shared" si="31"/>
        <v>0</v>
      </c>
      <c r="AL50" s="40"/>
      <c r="AM50" s="40"/>
      <c r="AN50" s="34">
        <f t="shared" si="32"/>
        <v>0</v>
      </c>
      <c r="AO50" s="34">
        <f t="shared" si="33"/>
        <v>0</v>
      </c>
      <c r="AP50" s="34">
        <f t="shared" si="34"/>
        <v>0</v>
      </c>
      <c r="AR50" s="34">
        <f t="shared" si="35"/>
        <v>197.4294655782202</v>
      </c>
      <c r="AS50" s="34"/>
      <c r="AT50" s="29">
        <f>+VLOOKUP(C50,dotpop24!$A$10:$K$178,11,0)</f>
        <v>669998</v>
      </c>
      <c r="AU50" s="29">
        <f t="shared" si="36"/>
        <v>15227.227272727272</v>
      </c>
      <c r="AV50" s="29">
        <f t="shared" si="19"/>
        <v>7613.613636363636</v>
      </c>
      <c r="AW50" s="29">
        <f t="shared" si="37"/>
        <v>113348.97671232876</v>
      </c>
    </row>
    <row r="51" spans="1:49">
      <c r="A51" s="1" t="s">
        <v>30</v>
      </c>
      <c r="B51" s="1" t="s">
        <v>30</v>
      </c>
      <c r="C51" s="97">
        <v>310026927</v>
      </c>
      <c r="D51" s="1" t="s">
        <v>79</v>
      </c>
      <c r="E51" s="1" t="s">
        <v>25</v>
      </c>
      <c r="F51" s="44">
        <v>8971</v>
      </c>
      <c r="G51" s="44">
        <v>8971</v>
      </c>
      <c r="H51" s="44">
        <v>0</v>
      </c>
      <c r="I51" s="45">
        <v>0.248</v>
      </c>
      <c r="J51" s="45">
        <v>86.64</v>
      </c>
      <c r="K51" s="45">
        <v>9.7200000000000006</v>
      </c>
      <c r="L51" s="45">
        <v>2.68</v>
      </c>
      <c r="M51" s="45">
        <v>0.73</v>
      </c>
      <c r="N51" s="35">
        <v>31</v>
      </c>
      <c r="O51" s="35" t="s">
        <v>26</v>
      </c>
      <c r="P51" s="35">
        <v>31</v>
      </c>
      <c r="Q51" s="35">
        <v>0</v>
      </c>
      <c r="R51" s="225">
        <f t="shared" si="17"/>
        <v>0.79284136102518776</v>
      </c>
      <c r="S51" s="225"/>
      <c r="T51" s="225"/>
      <c r="U51" s="78">
        <f t="shared" si="21"/>
        <v>3.3219178082191783</v>
      </c>
      <c r="V51" s="78">
        <f t="shared" si="22"/>
        <v>0</v>
      </c>
      <c r="W51" s="36">
        <f t="shared" si="23"/>
        <v>31</v>
      </c>
      <c r="X51" s="36">
        <f t="shared" si="24"/>
        <v>0</v>
      </c>
      <c r="Y51" s="40">
        <f>IF(B51="Public", 'synthèse v2'!$F$62/1000, IF(B51="Privé non lucratif",'synthèse v2'!$F$61/1000, IF(B51="Privé", 'synthèse v2'!$F$60/1000, "")))</f>
        <v>26.522545062955601</v>
      </c>
      <c r="Z51" s="40">
        <f t="shared" si="18"/>
        <v>13.2612725314778</v>
      </c>
      <c r="AA51" s="40">
        <f t="shared" si="25"/>
        <v>3.3219178082191783</v>
      </c>
      <c r="AB51" s="40">
        <f t="shared" si="26"/>
        <v>0</v>
      </c>
      <c r="AC51" s="34">
        <f t="shared" si="27"/>
        <v>88.10571476392785</v>
      </c>
      <c r="AD51" s="34">
        <f t="shared" si="28"/>
        <v>0</v>
      </c>
      <c r="AE51" s="34">
        <f t="shared" si="29"/>
        <v>88.10571476392785</v>
      </c>
      <c r="AF51" s="36">
        <v>0</v>
      </c>
      <c r="AG51" s="36">
        <v>0</v>
      </c>
      <c r="AH51" s="39">
        <v>0</v>
      </c>
      <c r="AI51" s="39">
        <v>0</v>
      </c>
      <c r="AJ51" s="36">
        <f t="shared" si="30"/>
        <v>0</v>
      </c>
      <c r="AK51" s="36">
        <f t="shared" si="31"/>
        <v>0</v>
      </c>
      <c r="AL51" s="40"/>
      <c r="AM51" s="40"/>
      <c r="AN51" s="34">
        <f t="shared" si="32"/>
        <v>0</v>
      </c>
      <c r="AO51" s="34">
        <f t="shared" si="33"/>
        <v>0</v>
      </c>
      <c r="AP51" s="34">
        <f t="shared" si="34"/>
        <v>0</v>
      </c>
      <c r="AR51" s="34">
        <f t="shared" si="35"/>
        <v>88.10571476392785</v>
      </c>
      <c r="AS51" s="34"/>
      <c r="AT51" s="29">
        <f>+VLOOKUP(C51,dotpop24!$A$10:$K$178,11,0)</f>
        <v>636910</v>
      </c>
      <c r="AU51" s="29">
        <f t="shared" si="36"/>
        <v>20545.483870967742</v>
      </c>
      <c r="AV51" s="29">
        <f t="shared" si="19"/>
        <v>10272.741935483871</v>
      </c>
      <c r="AW51" s="29">
        <f t="shared" si="37"/>
        <v>68250.408749447641</v>
      </c>
    </row>
    <row r="52" spans="1:49">
      <c r="A52" s="1" t="s">
        <v>22</v>
      </c>
      <c r="B52" s="1" t="s">
        <v>23</v>
      </c>
      <c r="C52" s="97">
        <v>310180013</v>
      </c>
      <c r="D52" s="1" t="s">
        <v>80</v>
      </c>
      <c r="E52" s="1" t="s">
        <v>25</v>
      </c>
      <c r="F52" s="44">
        <v>18402</v>
      </c>
      <c r="G52" s="44">
        <v>14802</v>
      </c>
      <c r="H52" s="44">
        <v>3600</v>
      </c>
      <c r="I52" s="45">
        <v>0.40899999999999997</v>
      </c>
      <c r="J52" s="45">
        <v>70.650000000000006</v>
      </c>
      <c r="K52" s="45">
        <v>7.14</v>
      </c>
      <c r="L52" s="45">
        <v>2.4700000000000002</v>
      </c>
      <c r="M52" s="45">
        <v>2.15</v>
      </c>
      <c r="N52" s="35">
        <v>31</v>
      </c>
      <c r="O52" s="35" t="s">
        <v>26</v>
      </c>
      <c r="P52" s="35">
        <v>76</v>
      </c>
      <c r="Q52" s="35">
        <v>7</v>
      </c>
      <c r="R52" s="225">
        <f t="shared" si="17"/>
        <v>0.53359769286229275</v>
      </c>
      <c r="S52" s="225">
        <f>+H52/(Q52*365)</f>
        <v>1.4090019569471623</v>
      </c>
      <c r="T52" s="225"/>
      <c r="U52" s="78">
        <f t="shared" si="21"/>
        <v>27.846575342465755</v>
      </c>
      <c r="V52" s="78">
        <f t="shared" si="22"/>
        <v>0</v>
      </c>
      <c r="W52" s="36">
        <f t="shared" si="23"/>
        <v>76</v>
      </c>
      <c r="X52" s="36">
        <f t="shared" si="24"/>
        <v>7</v>
      </c>
      <c r="Y52" s="40">
        <f>IF(B52="Public", 'synthèse v2'!$F$62/1000, IF(B52="Privé non lucratif",'synthèse v2'!$F$61/1000, IF(B52="Privé", 'synthèse v2'!$F$60/1000, "")))</f>
        <v>43.762959354365371</v>
      </c>
      <c r="Z52" s="40">
        <f t="shared" si="18"/>
        <v>21.881479677182686</v>
      </c>
      <c r="AA52" s="40">
        <f t="shared" si="25"/>
        <v>27.846575342465755</v>
      </c>
      <c r="AB52" s="40">
        <f t="shared" si="26"/>
        <v>0</v>
      </c>
      <c r="AC52" s="34">
        <f t="shared" si="27"/>
        <v>1218.6485448706019</v>
      </c>
      <c r="AD52" s="34">
        <f t="shared" si="28"/>
        <v>0</v>
      </c>
      <c r="AE52" s="34">
        <f t="shared" si="29"/>
        <v>1218.6485448706019</v>
      </c>
      <c r="AF52" s="36">
        <v>0</v>
      </c>
      <c r="AG52" s="36">
        <v>0</v>
      </c>
      <c r="AH52" s="39">
        <v>0</v>
      </c>
      <c r="AI52" s="39">
        <v>0</v>
      </c>
      <c r="AJ52" s="36">
        <f t="shared" si="30"/>
        <v>0</v>
      </c>
      <c r="AK52" s="36">
        <f t="shared" si="31"/>
        <v>0</v>
      </c>
      <c r="AL52" s="40"/>
      <c r="AM52" s="40"/>
      <c r="AN52" s="34">
        <f t="shared" si="32"/>
        <v>0</v>
      </c>
      <c r="AO52" s="34">
        <f t="shared" si="33"/>
        <v>0</v>
      </c>
      <c r="AP52" s="34">
        <f t="shared" si="34"/>
        <v>0</v>
      </c>
      <c r="AR52" s="34">
        <f t="shared" si="35"/>
        <v>1218.6485448706019</v>
      </c>
      <c r="AS52" s="34"/>
      <c r="AT52" s="29">
        <f>+VLOOKUP(C52,dotpop24!$A$10:$K$178,11,0)</f>
        <v>3490755.35</v>
      </c>
      <c r="AU52" s="29">
        <f t="shared" si="36"/>
        <v>43908.872327044024</v>
      </c>
      <c r="AV52" s="29">
        <f t="shared" si="19"/>
        <v>21954.436163522012</v>
      </c>
      <c r="AW52" s="29">
        <f t="shared" si="37"/>
        <v>1222711.721457741</v>
      </c>
    </row>
    <row r="53" spans="1:49">
      <c r="A53" s="1" t="s">
        <v>30</v>
      </c>
      <c r="B53" s="1" t="s">
        <v>30</v>
      </c>
      <c r="C53" s="97">
        <v>310780150</v>
      </c>
      <c r="D53" s="1" t="s">
        <v>81</v>
      </c>
      <c r="E53" s="1" t="s">
        <v>25</v>
      </c>
      <c r="F53" s="44">
        <v>14436</v>
      </c>
      <c r="G53" s="44">
        <v>1574</v>
      </c>
      <c r="H53" s="44">
        <v>12862</v>
      </c>
      <c r="I53" s="45">
        <v>0.66</v>
      </c>
      <c r="J53" s="45">
        <v>35.97</v>
      </c>
      <c r="K53" s="45">
        <v>4.5599999999999996</v>
      </c>
      <c r="L53" s="45">
        <v>2.0099999999999998</v>
      </c>
      <c r="M53" s="45">
        <v>4.9800000000000004</v>
      </c>
      <c r="N53" s="35">
        <v>31</v>
      </c>
      <c r="O53" s="35" t="s">
        <v>26</v>
      </c>
      <c r="P53" s="35">
        <v>16</v>
      </c>
      <c r="Q53" s="35">
        <v>40</v>
      </c>
      <c r="R53" s="225">
        <f t="shared" si="17"/>
        <v>0.26952054794520547</v>
      </c>
      <c r="S53" s="225">
        <f>+H53/(Q53*365)</f>
        <v>0.88095890410958899</v>
      </c>
      <c r="T53" s="225"/>
      <c r="U53" s="78">
        <f t="shared" si="21"/>
        <v>10.087671232876712</v>
      </c>
      <c r="V53" s="78">
        <f t="shared" si="22"/>
        <v>2.7616438356164386</v>
      </c>
      <c r="W53" s="36">
        <f t="shared" si="23"/>
        <v>16</v>
      </c>
      <c r="X53" s="36">
        <f t="shared" si="24"/>
        <v>40</v>
      </c>
      <c r="Y53" s="40">
        <f>IF(B53="Public", 'synthèse v2'!$F$62/1000, IF(B53="Privé non lucratif",'synthèse v2'!$F$61/1000, IF(B53="Privé", 'synthèse v2'!$F$60/1000, "")))</f>
        <v>26.522545062955601</v>
      </c>
      <c r="Z53" s="40">
        <f t="shared" si="18"/>
        <v>13.2612725314778</v>
      </c>
      <c r="AA53" s="40">
        <f t="shared" si="25"/>
        <v>10.087671232876712</v>
      </c>
      <c r="AB53" s="40">
        <f t="shared" si="26"/>
        <v>2.7616438356164386</v>
      </c>
      <c r="AC53" s="34">
        <f t="shared" si="27"/>
        <v>267.5507148542535</v>
      </c>
      <c r="AD53" s="34">
        <f t="shared" si="28"/>
        <v>36.622911538985271</v>
      </c>
      <c r="AE53" s="34">
        <f t="shared" si="29"/>
        <v>304.17362639323875</v>
      </c>
      <c r="AF53" s="36">
        <v>0</v>
      </c>
      <c r="AG53" s="36">
        <v>0</v>
      </c>
      <c r="AH53" s="39">
        <v>0</v>
      </c>
      <c r="AI53" s="39">
        <v>0</v>
      </c>
      <c r="AJ53" s="36">
        <f t="shared" si="30"/>
        <v>0</v>
      </c>
      <c r="AK53" s="36">
        <f t="shared" si="31"/>
        <v>0</v>
      </c>
      <c r="AL53" s="40"/>
      <c r="AM53" s="40"/>
      <c r="AN53" s="34">
        <f t="shared" si="32"/>
        <v>0</v>
      </c>
      <c r="AO53" s="34">
        <f t="shared" si="33"/>
        <v>0</v>
      </c>
      <c r="AP53" s="34">
        <f t="shared" si="34"/>
        <v>0</v>
      </c>
      <c r="AR53" s="34">
        <f t="shared" si="35"/>
        <v>304.17362639323875</v>
      </c>
      <c r="AS53" s="34"/>
      <c r="AT53" s="29">
        <f>+VLOOKUP(C53,dotpop24!$A$10:$K$178,11,0)</f>
        <v>676421.02</v>
      </c>
      <c r="AU53" s="29">
        <f t="shared" si="36"/>
        <v>18789.472777777777</v>
      </c>
      <c r="AV53" s="29">
        <f t="shared" si="19"/>
        <v>9394.7363888888885</v>
      </c>
      <c r="AW53" s="29">
        <f t="shared" si="37"/>
        <v>215486.9398569254</v>
      </c>
    </row>
    <row r="54" spans="1:49">
      <c r="A54" s="1" t="s">
        <v>30</v>
      </c>
      <c r="B54" s="1" t="s">
        <v>30</v>
      </c>
      <c r="C54" s="97">
        <v>310780234</v>
      </c>
      <c r="D54" s="1" t="s">
        <v>82</v>
      </c>
      <c r="E54" s="1" t="s">
        <v>25</v>
      </c>
      <c r="F54" s="44">
        <v>45466</v>
      </c>
      <c r="G54" s="44">
        <v>35571</v>
      </c>
      <c r="H54" s="44">
        <v>9895</v>
      </c>
      <c r="I54" s="45">
        <v>0.48399999999999999</v>
      </c>
      <c r="J54" s="45">
        <v>62.47</v>
      </c>
      <c r="K54" s="45">
        <v>7.49</v>
      </c>
      <c r="L54" s="45">
        <v>2.57</v>
      </c>
      <c r="M54" s="45">
        <v>2.89</v>
      </c>
      <c r="N54" s="35">
        <v>31</v>
      </c>
      <c r="O54" s="35" t="s">
        <v>26</v>
      </c>
      <c r="P54" s="35">
        <v>105</v>
      </c>
      <c r="Q54" s="35">
        <v>15</v>
      </c>
      <c r="R54" s="225">
        <f t="shared" si="17"/>
        <v>0.92814090019569473</v>
      </c>
      <c r="S54" s="225">
        <f>+H54/(Q54*365)</f>
        <v>1.8073059360730594</v>
      </c>
      <c r="T54" s="225"/>
      <c r="U54" s="78">
        <f t="shared" si="21"/>
        <v>0</v>
      </c>
      <c r="V54" s="78">
        <f t="shared" si="22"/>
        <v>0</v>
      </c>
      <c r="W54" s="36">
        <f t="shared" si="23"/>
        <v>105</v>
      </c>
      <c r="X54" s="36">
        <f t="shared" si="24"/>
        <v>15</v>
      </c>
      <c r="Y54" s="40">
        <f>IF(B54="Public", 'synthèse v2'!$F$62/1000, IF(B54="Privé non lucratif",'synthèse v2'!$F$61/1000, IF(B54="Privé", 'synthèse v2'!$F$60/1000, "")))</f>
        <v>26.522545062955601</v>
      </c>
      <c r="Z54" s="40">
        <f t="shared" si="18"/>
        <v>13.2612725314778</v>
      </c>
      <c r="AA54" s="40">
        <f t="shared" si="25"/>
        <v>0</v>
      </c>
      <c r="AB54" s="40">
        <f t="shared" si="26"/>
        <v>0</v>
      </c>
      <c r="AC54" s="34">
        <f t="shared" si="27"/>
        <v>0</v>
      </c>
      <c r="AD54" s="34">
        <f t="shared" si="28"/>
        <v>0</v>
      </c>
      <c r="AE54" s="34">
        <f t="shared" si="29"/>
        <v>0</v>
      </c>
      <c r="AF54" s="36">
        <v>0</v>
      </c>
      <c r="AG54" s="36">
        <v>0</v>
      </c>
      <c r="AH54" s="39">
        <v>0</v>
      </c>
      <c r="AI54" s="39">
        <v>0</v>
      </c>
      <c r="AJ54" s="36">
        <f t="shared" si="30"/>
        <v>0</v>
      </c>
      <c r="AK54" s="36">
        <f t="shared" si="31"/>
        <v>0</v>
      </c>
      <c r="AL54" s="40"/>
      <c r="AM54" s="40"/>
      <c r="AN54" s="34">
        <f t="shared" si="32"/>
        <v>0</v>
      </c>
      <c r="AO54" s="34">
        <f t="shared" si="33"/>
        <v>0</v>
      </c>
      <c r="AP54" s="34">
        <f t="shared" si="34"/>
        <v>0</v>
      </c>
      <c r="AR54" s="34">
        <f t="shared" si="35"/>
        <v>0</v>
      </c>
      <c r="AS54" s="34"/>
      <c r="AT54" s="29">
        <f>+VLOOKUP(C54,dotpop24!$A$10:$K$178,11,0)</f>
        <v>3329566.15</v>
      </c>
      <c r="AU54" s="29">
        <f t="shared" si="36"/>
        <v>29596.143555555554</v>
      </c>
      <c r="AV54" s="29">
        <f t="shared" si="19"/>
        <v>14798.071777777777</v>
      </c>
      <c r="AW54" s="29">
        <f t="shared" si="37"/>
        <v>0</v>
      </c>
    </row>
    <row r="55" spans="1:49">
      <c r="A55" s="1" t="s">
        <v>30</v>
      </c>
      <c r="B55" s="1" t="s">
        <v>30</v>
      </c>
      <c r="C55" s="97">
        <v>310780366</v>
      </c>
      <c r="D55" s="1" t="s">
        <v>83</v>
      </c>
      <c r="E55" s="1" t="s">
        <v>25</v>
      </c>
      <c r="F55" s="44">
        <v>54581</v>
      </c>
      <c r="G55" s="44">
        <v>47934</v>
      </c>
      <c r="H55" s="44">
        <v>6647</v>
      </c>
      <c r="I55" s="45">
        <v>0.42</v>
      </c>
      <c r="J55" s="45">
        <v>74.72</v>
      </c>
      <c r="K55" s="45">
        <v>9.66</v>
      </c>
      <c r="L55" s="45">
        <v>4.09</v>
      </c>
      <c r="M55" s="45">
        <v>1.81</v>
      </c>
      <c r="N55" s="35">
        <v>31</v>
      </c>
      <c r="O55" s="35" t="s">
        <v>26</v>
      </c>
      <c r="P55" s="35">
        <v>115</v>
      </c>
      <c r="Q55" s="35">
        <v>11</v>
      </c>
      <c r="R55" s="225">
        <f t="shared" si="17"/>
        <v>1.1419654556283503</v>
      </c>
      <c r="S55" s="225">
        <f>+H55/(Q55*365)</f>
        <v>1.6555417185554171</v>
      </c>
      <c r="T55" s="225"/>
      <c r="U55" s="78">
        <f t="shared" si="21"/>
        <v>0</v>
      </c>
      <c r="V55" s="78">
        <f t="shared" si="22"/>
        <v>0</v>
      </c>
      <c r="W55" s="36">
        <f t="shared" si="23"/>
        <v>115</v>
      </c>
      <c r="X55" s="36">
        <f t="shared" si="24"/>
        <v>11</v>
      </c>
      <c r="Y55" s="40">
        <f>IF(B55="Public", 'synthèse v2'!$F$62/1000, IF(B55="Privé non lucratif",'synthèse v2'!$F$61/1000, IF(B55="Privé", 'synthèse v2'!$F$60/1000, "")))</f>
        <v>26.522545062955601</v>
      </c>
      <c r="Z55" s="40">
        <f t="shared" si="18"/>
        <v>13.2612725314778</v>
      </c>
      <c r="AA55" s="40">
        <f t="shared" si="25"/>
        <v>0</v>
      </c>
      <c r="AB55" s="40">
        <f t="shared" si="26"/>
        <v>0</v>
      </c>
      <c r="AC55" s="34">
        <f t="shared" si="27"/>
        <v>0</v>
      </c>
      <c r="AD55" s="34">
        <f t="shared" si="28"/>
        <v>0</v>
      </c>
      <c r="AE55" s="34">
        <f t="shared" si="29"/>
        <v>0</v>
      </c>
      <c r="AF55" s="36">
        <v>0</v>
      </c>
      <c r="AG55" s="36">
        <v>0</v>
      </c>
      <c r="AH55" s="39">
        <v>0</v>
      </c>
      <c r="AI55" s="39">
        <v>0</v>
      </c>
      <c r="AJ55" s="36">
        <f t="shared" si="30"/>
        <v>0</v>
      </c>
      <c r="AK55" s="36">
        <f t="shared" si="31"/>
        <v>0</v>
      </c>
      <c r="AL55" s="40"/>
      <c r="AM55" s="40"/>
      <c r="AN55" s="34">
        <f t="shared" si="32"/>
        <v>0</v>
      </c>
      <c r="AO55" s="34">
        <f t="shared" si="33"/>
        <v>0</v>
      </c>
      <c r="AP55" s="34">
        <f t="shared" si="34"/>
        <v>0</v>
      </c>
      <c r="AR55" s="34">
        <f t="shared" si="35"/>
        <v>0</v>
      </c>
      <c r="AS55" s="34"/>
      <c r="AT55" s="29">
        <f>+VLOOKUP(C55,dotpop24!$A$10:$K$178,11,0)</f>
        <v>3255836</v>
      </c>
      <c r="AU55" s="29">
        <f t="shared" si="36"/>
        <v>27019.385892116181</v>
      </c>
      <c r="AV55" s="29">
        <f t="shared" si="19"/>
        <v>13509.69294605809</v>
      </c>
      <c r="AW55" s="29">
        <f t="shared" si="37"/>
        <v>0</v>
      </c>
    </row>
    <row r="56" spans="1:49">
      <c r="A56" s="1" t="s">
        <v>30</v>
      </c>
      <c r="B56" s="1" t="s">
        <v>30</v>
      </c>
      <c r="C56" s="97">
        <v>310780374</v>
      </c>
      <c r="D56" s="1" t="s">
        <v>84</v>
      </c>
      <c r="E56" s="1" t="s">
        <v>25</v>
      </c>
      <c r="F56" s="44">
        <v>56203</v>
      </c>
      <c r="G56" s="44">
        <v>53408</v>
      </c>
      <c r="H56" s="44">
        <v>2795</v>
      </c>
      <c r="I56" s="45">
        <v>0.32200000000000001</v>
      </c>
      <c r="J56" s="45">
        <v>62.18</v>
      </c>
      <c r="K56" s="45">
        <v>6.8</v>
      </c>
      <c r="L56" s="45">
        <v>4.12</v>
      </c>
      <c r="M56" s="45">
        <v>2.5099999999999998</v>
      </c>
      <c r="N56" s="35">
        <v>31</v>
      </c>
      <c r="O56" s="35" t="s">
        <v>26</v>
      </c>
      <c r="P56" s="35">
        <v>148</v>
      </c>
      <c r="Q56" s="35">
        <v>15</v>
      </c>
      <c r="R56" s="225">
        <f t="shared" si="17"/>
        <v>0.98867086264346538</v>
      </c>
      <c r="S56" s="225">
        <f>+H56/(Q56*365)</f>
        <v>0.51050228310502288</v>
      </c>
      <c r="T56" s="225"/>
      <c r="U56" s="78">
        <f t="shared" si="21"/>
        <v>0</v>
      </c>
      <c r="V56" s="78">
        <f t="shared" si="22"/>
        <v>6.5924657534246567</v>
      </c>
      <c r="W56" s="36">
        <f t="shared" si="23"/>
        <v>148</v>
      </c>
      <c r="X56" s="36">
        <f t="shared" si="24"/>
        <v>15</v>
      </c>
      <c r="Y56" s="40">
        <f>IF(B56="Public", 'synthèse v2'!$F$62/1000, IF(B56="Privé non lucratif",'synthèse v2'!$F$61/1000, IF(B56="Privé", 'synthèse v2'!$F$60/1000, "")))</f>
        <v>26.522545062955601</v>
      </c>
      <c r="Z56" s="40">
        <f t="shared" si="18"/>
        <v>13.2612725314778</v>
      </c>
      <c r="AA56" s="40">
        <f t="shared" si="25"/>
        <v>0</v>
      </c>
      <c r="AB56" s="40">
        <f t="shared" si="26"/>
        <v>6.5924657534246567</v>
      </c>
      <c r="AC56" s="34">
        <f t="shared" si="27"/>
        <v>0</v>
      </c>
      <c r="AD56" s="34">
        <f t="shared" si="28"/>
        <v>87.424485010598502</v>
      </c>
      <c r="AE56" s="34">
        <f t="shared" si="29"/>
        <v>87.424485010598502</v>
      </c>
      <c r="AF56" s="36">
        <v>0</v>
      </c>
      <c r="AG56" s="36">
        <v>0</v>
      </c>
      <c r="AH56" s="39">
        <v>0</v>
      </c>
      <c r="AI56" s="39">
        <v>0</v>
      </c>
      <c r="AJ56" s="36">
        <f t="shared" si="30"/>
        <v>0</v>
      </c>
      <c r="AK56" s="36">
        <f t="shared" si="31"/>
        <v>0</v>
      </c>
      <c r="AL56" s="40"/>
      <c r="AM56" s="40"/>
      <c r="AN56" s="34">
        <f t="shared" si="32"/>
        <v>0</v>
      </c>
      <c r="AO56" s="34">
        <f t="shared" si="33"/>
        <v>0</v>
      </c>
      <c r="AP56" s="34">
        <f t="shared" si="34"/>
        <v>0</v>
      </c>
      <c r="AR56" s="34">
        <f t="shared" si="35"/>
        <v>87.424485010598502</v>
      </c>
      <c r="AS56" s="34"/>
      <c r="AT56" s="29">
        <f>+VLOOKUP(C56,dotpop24!$A$10:$K$178,11,0)</f>
        <v>1706232.94</v>
      </c>
      <c r="AU56" s="29">
        <f t="shared" si="36"/>
        <v>10972.559099678456</v>
      </c>
      <c r="AV56" s="29">
        <f t="shared" si="19"/>
        <v>5486.2795498392279</v>
      </c>
      <c r="AW56" s="29">
        <f t="shared" si="37"/>
        <v>36168.110046029149</v>
      </c>
    </row>
    <row r="57" spans="1:49">
      <c r="A57" s="1" t="s">
        <v>22</v>
      </c>
      <c r="B57" s="1" t="s">
        <v>23</v>
      </c>
      <c r="C57" s="97">
        <v>310780671</v>
      </c>
      <c r="D57" s="1" t="s">
        <v>86</v>
      </c>
      <c r="E57" s="1" t="s">
        <v>25</v>
      </c>
      <c r="F57" s="44">
        <v>7190</v>
      </c>
      <c r="G57" s="44">
        <v>7190</v>
      </c>
      <c r="H57" s="44">
        <v>0</v>
      </c>
      <c r="I57" s="45">
        <v>0.38500000000000001</v>
      </c>
      <c r="J57" s="45">
        <v>83.69</v>
      </c>
      <c r="K57" s="45">
        <v>10.93</v>
      </c>
      <c r="L57" s="45">
        <v>2.76</v>
      </c>
      <c r="M57" s="45">
        <v>1.89</v>
      </c>
      <c r="N57" s="35">
        <v>31</v>
      </c>
      <c r="O57" s="35" t="s">
        <v>26</v>
      </c>
      <c r="P57" s="35">
        <v>20</v>
      </c>
      <c r="Q57" s="35">
        <v>0</v>
      </c>
      <c r="R57" s="225">
        <f t="shared" si="17"/>
        <v>0.98493150684931507</v>
      </c>
      <c r="S57" s="225"/>
      <c r="T57" s="225"/>
      <c r="U57" s="78">
        <f t="shared" si="21"/>
        <v>0</v>
      </c>
      <c r="V57" s="78">
        <f t="shared" si="22"/>
        <v>0</v>
      </c>
      <c r="W57" s="36">
        <f t="shared" si="23"/>
        <v>20</v>
      </c>
      <c r="X57" s="36">
        <f t="shared" si="24"/>
        <v>0</v>
      </c>
      <c r="Y57" s="40">
        <f>IF(B57="Public", 'synthèse v2'!$F$62/1000, IF(B57="Privé non lucratif",'synthèse v2'!$F$61/1000, IF(B57="Privé", 'synthèse v2'!$F$60/1000, "")))</f>
        <v>43.762959354365371</v>
      </c>
      <c r="Z57" s="40">
        <f t="shared" si="18"/>
        <v>21.881479677182686</v>
      </c>
      <c r="AA57" s="40">
        <f t="shared" si="25"/>
        <v>0</v>
      </c>
      <c r="AB57" s="40">
        <f t="shared" si="26"/>
        <v>0</v>
      </c>
      <c r="AC57" s="34">
        <f t="shared" si="27"/>
        <v>0</v>
      </c>
      <c r="AD57" s="34">
        <f t="shared" si="28"/>
        <v>0</v>
      </c>
      <c r="AE57" s="34">
        <f t="shared" si="29"/>
        <v>0</v>
      </c>
      <c r="AF57" s="36">
        <v>0</v>
      </c>
      <c r="AG57" s="36">
        <v>0</v>
      </c>
      <c r="AH57" s="39">
        <v>0</v>
      </c>
      <c r="AI57" s="39">
        <v>0</v>
      </c>
      <c r="AJ57" s="36">
        <f t="shared" si="30"/>
        <v>0</v>
      </c>
      <c r="AK57" s="36">
        <f t="shared" si="31"/>
        <v>0</v>
      </c>
      <c r="AL57" s="40"/>
      <c r="AM57" s="40"/>
      <c r="AN57" s="34">
        <f t="shared" si="32"/>
        <v>0</v>
      </c>
      <c r="AO57" s="34">
        <f t="shared" si="33"/>
        <v>0</v>
      </c>
      <c r="AP57" s="34">
        <f t="shared" si="34"/>
        <v>0</v>
      </c>
      <c r="AR57" s="34">
        <f t="shared" si="35"/>
        <v>0</v>
      </c>
      <c r="AS57" s="34"/>
      <c r="AT57" s="29">
        <f>+VLOOKUP(C57,dotpop24!$A$10:$K$178,11,0)</f>
        <v>890940.44</v>
      </c>
      <c r="AU57" s="29">
        <f t="shared" si="36"/>
        <v>44547.021999999997</v>
      </c>
      <c r="AV57" s="29">
        <f t="shared" si="19"/>
        <v>22273.510999999999</v>
      </c>
      <c r="AW57" s="29">
        <f t="shared" si="37"/>
        <v>0</v>
      </c>
    </row>
    <row r="58" spans="1:49">
      <c r="A58" s="1" t="s">
        <v>22</v>
      </c>
      <c r="B58" s="1" t="s">
        <v>23</v>
      </c>
      <c r="C58" s="97">
        <v>310780713</v>
      </c>
      <c r="D58" s="1" t="s">
        <v>87</v>
      </c>
      <c r="E58" s="1" t="s">
        <v>25</v>
      </c>
      <c r="F58" s="44">
        <v>16083</v>
      </c>
      <c r="G58" s="44">
        <v>16083</v>
      </c>
      <c r="H58" s="44">
        <v>0</v>
      </c>
      <c r="I58" s="45">
        <v>0.35099999999999998</v>
      </c>
      <c r="J58" s="45">
        <v>84.15</v>
      </c>
      <c r="K58" s="45">
        <v>11.28</v>
      </c>
      <c r="L58" s="45">
        <v>2.95</v>
      </c>
      <c r="M58" s="45">
        <v>1.18</v>
      </c>
      <c r="N58" s="35">
        <v>31</v>
      </c>
      <c r="O58" s="35" t="s">
        <v>26</v>
      </c>
      <c r="P58" s="35">
        <v>51</v>
      </c>
      <c r="Q58" s="35">
        <v>4</v>
      </c>
      <c r="R58" s="225">
        <f t="shared" si="17"/>
        <v>0.86398066075745361</v>
      </c>
      <c r="S58" s="225">
        <f>+H58/(Q58*365)</f>
        <v>0</v>
      </c>
      <c r="T58" s="225"/>
      <c r="U58" s="78">
        <f t="shared" si="21"/>
        <v>1.836986301369868</v>
      </c>
      <c r="V58" s="78">
        <f t="shared" si="22"/>
        <v>3.8</v>
      </c>
      <c r="W58" s="36">
        <f t="shared" si="23"/>
        <v>51</v>
      </c>
      <c r="X58" s="36">
        <f t="shared" si="24"/>
        <v>4</v>
      </c>
      <c r="Y58" s="40">
        <f>IF(B58="Public", 'synthèse v2'!$F$62/1000, IF(B58="Privé non lucratif",'synthèse v2'!$F$61/1000, IF(B58="Privé", 'synthèse v2'!$F$60/1000, "")))</f>
        <v>43.762959354365371</v>
      </c>
      <c r="Z58" s="40">
        <f t="shared" si="18"/>
        <v>21.881479677182686</v>
      </c>
      <c r="AA58" s="40">
        <f t="shared" si="25"/>
        <v>1.836986301369868</v>
      </c>
      <c r="AB58" s="40">
        <f t="shared" si="26"/>
        <v>3.8</v>
      </c>
      <c r="AC58" s="34">
        <f t="shared" si="27"/>
        <v>80.391956841375503</v>
      </c>
      <c r="AD58" s="34">
        <f t="shared" si="28"/>
        <v>83.149622773294197</v>
      </c>
      <c r="AE58" s="34">
        <f t="shared" si="29"/>
        <v>163.5415796146697</v>
      </c>
      <c r="AF58" s="36">
        <v>0</v>
      </c>
      <c r="AG58" s="36">
        <v>0</v>
      </c>
      <c r="AH58" s="39">
        <v>0</v>
      </c>
      <c r="AI58" s="39">
        <v>0</v>
      </c>
      <c r="AJ58" s="36">
        <f t="shared" si="30"/>
        <v>0</v>
      </c>
      <c r="AK58" s="36">
        <f t="shared" si="31"/>
        <v>0</v>
      </c>
      <c r="AL58" s="40"/>
      <c r="AM58" s="40"/>
      <c r="AN58" s="34">
        <f t="shared" si="32"/>
        <v>0</v>
      </c>
      <c r="AO58" s="34">
        <f t="shared" si="33"/>
        <v>0</v>
      </c>
      <c r="AP58" s="34">
        <f t="shared" si="34"/>
        <v>0</v>
      </c>
      <c r="AR58" s="34">
        <f t="shared" si="35"/>
        <v>163.5415796146697</v>
      </c>
      <c r="AS58" s="34"/>
      <c r="AT58" s="29">
        <f>+VLOOKUP(C58,dotpop24!$A$10:$K$178,11,0)</f>
        <v>1869425.08</v>
      </c>
      <c r="AU58" s="29">
        <f t="shared" si="36"/>
        <v>35272.171320754722</v>
      </c>
      <c r="AV58" s="29">
        <f t="shared" si="19"/>
        <v>17636.085660377361</v>
      </c>
      <c r="AW58" s="29">
        <f t="shared" si="37"/>
        <v>131811.62104523153</v>
      </c>
    </row>
    <row r="59" spans="1:49">
      <c r="A59" s="1" t="s">
        <v>30</v>
      </c>
      <c r="B59" s="1" t="s">
        <v>30</v>
      </c>
      <c r="C59" s="97">
        <v>310781125</v>
      </c>
      <c r="D59" s="1" t="s">
        <v>88</v>
      </c>
      <c r="E59" s="1" t="s">
        <v>25</v>
      </c>
      <c r="F59" s="44">
        <v>17215</v>
      </c>
      <c r="G59" s="44">
        <v>17215</v>
      </c>
      <c r="H59" s="44">
        <v>0</v>
      </c>
      <c r="I59" s="45">
        <v>0.41</v>
      </c>
      <c r="J59" s="45">
        <v>81.62</v>
      </c>
      <c r="K59" s="45">
        <v>11.98</v>
      </c>
      <c r="L59" s="45">
        <v>4.1500000000000004</v>
      </c>
      <c r="M59" s="45">
        <v>1.61</v>
      </c>
      <c r="N59" s="35">
        <v>31</v>
      </c>
      <c r="O59" s="35" t="s">
        <v>26</v>
      </c>
      <c r="P59" s="35">
        <v>52</v>
      </c>
      <c r="Q59" s="35">
        <v>0</v>
      </c>
      <c r="R59" s="225">
        <f t="shared" si="17"/>
        <v>0.90700737618545835</v>
      </c>
      <c r="S59" s="225"/>
      <c r="T59" s="225"/>
      <c r="U59" s="78">
        <f t="shared" si="21"/>
        <v>0</v>
      </c>
      <c r="V59" s="78">
        <f t="shared" si="22"/>
        <v>0</v>
      </c>
      <c r="W59" s="36">
        <f t="shared" si="23"/>
        <v>52</v>
      </c>
      <c r="X59" s="36">
        <f t="shared" si="24"/>
        <v>0</v>
      </c>
      <c r="Y59" s="40">
        <f>IF(B59="Public", 'synthèse v2'!$F$62/1000, IF(B59="Privé non lucratif",'synthèse v2'!$F$61/1000, IF(B59="Privé", 'synthèse v2'!$F$60/1000, "")))</f>
        <v>26.522545062955601</v>
      </c>
      <c r="Z59" s="40">
        <f t="shared" si="18"/>
        <v>13.2612725314778</v>
      </c>
      <c r="AA59" s="40">
        <f t="shared" si="25"/>
        <v>0</v>
      </c>
      <c r="AB59" s="40">
        <f t="shared" si="26"/>
        <v>0</v>
      </c>
      <c r="AC59" s="34">
        <f t="shared" si="27"/>
        <v>0</v>
      </c>
      <c r="AD59" s="34">
        <f t="shared" si="28"/>
        <v>0</v>
      </c>
      <c r="AE59" s="34">
        <f t="shared" si="29"/>
        <v>0</v>
      </c>
      <c r="AF59" s="36">
        <v>0</v>
      </c>
      <c r="AG59" s="36">
        <v>0</v>
      </c>
      <c r="AH59" s="39">
        <v>0</v>
      </c>
      <c r="AI59" s="39">
        <v>0</v>
      </c>
      <c r="AJ59" s="36">
        <f t="shared" si="30"/>
        <v>0</v>
      </c>
      <c r="AK59" s="36">
        <f t="shared" si="31"/>
        <v>0</v>
      </c>
      <c r="AL59" s="40"/>
      <c r="AM59" s="40"/>
      <c r="AN59" s="34">
        <f t="shared" si="32"/>
        <v>0</v>
      </c>
      <c r="AO59" s="34">
        <f t="shared" si="33"/>
        <v>0</v>
      </c>
      <c r="AP59" s="34">
        <f t="shared" si="34"/>
        <v>0</v>
      </c>
      <c r="AR59" s="34">
        <f t="shared" si="35"/>
        <v>0</v>
      </c>
      <c r="AS59" s="34"/>
      <c r="AT59" s="29">
        <f>+VLOOKUP(C59,dotpop24!$A$10:$K$178,11,0)</f>
        <v>876806.84</v>
      </c>
      <c r="AU59" s="29">
        <f t="shared" si="36"/>
        <v>16861.669999999998</v>
      </c>
      <c r="AV59" s="29">
        <f t="shared" si="19"/>
        <v>8430.8349999999991</v>
      </c>
      <c r="AW59" s="29">
        <f t="shared" si="37"/>
        <v>0</v>
      </c>
    </row>
    <row r="60" spans="1:49">
      <c r="A60" s="1" t="s">
        <v>30</v>
      </c>
      <c r="B60" s="1" t="s">
        <v>30</v>
      </c>
      <c r="C60" s="97">
        <v>310781174</v>
      </c>
      <c r="D60" s="1" t="s">
        <v>89</v>
      </c>
      <c r="E60" s="1" t="s">
        <v>25</v>
      </c>
      <c r="F60" s="44">
        <v>34171</v>
      </c>
      <c r="G60" s="44">
        <v>28790</v>
      </c>
      <c r="H60" s="44">
        <v>5381</v>
      </c>
      <c r="I60" s="45">
        <v>0.35399999999999998</v>
      </c>
      <c r="J60" s="45">
        <v>80.98</v>
      </c>
      <c r="K60" s="45">
        <v>9.34</v>
      </c>
      <c r="L60" s="45">
        <v>3.32</v>
      </c>
      <c r="M60" s="45">
        <v>1.88</v>
      </c>
      <c r="N60" s="35">
        <v>31</v>
      </c>
      <c r="O60" s="35" t="s">
        <v>26</v>
      </c>
      <c r="P60" s="35">
        <v>80</v>
      </c>
      <c r="Q60" s="35">
        <v>10</v>
      </c>
      <c r="R60" s="225">
        <f t="shared" si="17"/>
        <v>0.98595890410958908</v>
      </c>
      <c r="S60" s="225">
        <f>+H60/(Q60*365)</f>
        <v>1.4742465753424658</v>
      </c>
      <c r="T60" s="225"/>
      <c r="U60" s="78">
        <f t="shared" si="21"/>
        <v>0</v>
      </c>
      <c r="V60" s="78">
        <f t="shared" si="22"/>
        <v>0</v>
      </c>
      <c r="W60" s="36">
        <f t="shared" si="23"/>
        <v>80</v>
      </c>
      <c r="X60" s="36">
        <f t="shared" si="24"/>
        <v>10</v>
      </c>
      <c r="Y60" s="40">
        <f>IF(B60="Public", 'synthèse v2'!$F$62/1000, IF(B60="Privé non lucratif",'synthèse v2'!$F$61/1000, IF(B60="Privé", 'synthèse v2'!$F$60/1000, "")))</f>
        <v>26.522545062955601</v>
      </c>
      <c r="Z60" s="40">
        <f t="shared" si="18"/>
        <v>13.2612725314778</v>
      </c>
      <c r="AA60" s="40">
        <f t="shared" si="25"/>
        <v>0</v>
      </c>
      <c r="AB60" s="40">
        <f t="shared" si="26"/>
        <v>0</v>
      </c>
      <c r="AC60" s="34">
        <f t="shared" si="27"/>
        <v>0</v>
      </c>
      <c r="AD60" s="34">
        <f t="shared" si="28"/>
        <v>0</v>
      </c>
      <c r="AE60" s="34">
        <f t="shared" si="29"/>
        <v>0</v>
      </c>
      <c r="AF60" s="36">
        <v>0</v>
      </c>
      <c r="AG60" s="36">
        <v>0</v>
      </c>
      <c r="AH60" s="39">
        <v>0</v>
      </c>
      <c r="AI60" s="39">
        <v>0</v>
      </c>
      <c r="AJ60" s="36">
        <f t="shared" si="30"/>
        <v>0</v>
      </c>
      <c r="AK60" s="36">
        <f t="shared" si="31"/>
        <v>0</v>
      </c>
      <c r="AL60" s="40"/>
      <c r="AM60" s="40"/>
      <c r="AN60" s="34">
        <f t="shared" si="32"/>
        <v>0</v>
      </c>
      <c r="AO60" s="34">
        <f t="shared" si="33"/>
        <v>0</v>
      </c>
      <c r="AP60" s="34">
        <f t="shared" si="34"/>
        <v>0</v>
      </c>
      <c r="AR60" s="34">
        <f t="shared" si="35"/>
        <v>0</v>
      </c>
      <c r="AS60" s="34"/>
      <c r="AT60" s="29">
        <f>+VLOOKUP(C60,dotpop24!$A$10:$K$178,11,0)</f>
        <v>1188639.94</v>
      </c>
      <c r="AU60" s="29">
        <f t="shared" si="36"/>
        <v>13983.999294117646</v>
      </c>
      <c r="AV60" s="29">
        <f t="shared" si="19"/>
        <v>6991.999647058823</v>
      </c>
      <c r="AW60" s="29">
        <f t="shared" si="37"/>
        <v>0</v>
      </c>
    </row>
    <row r="61" spans="1:49">
      <c r="A61" s="1" t="s">
        <v>61</v>
      </c>
      <c r="B61" s="1" t="s">
        <v>23</v>
      </c>
      <c r="C61" s="97">
        <v>310781406</v>
      </c>
      <c r="D61" s="1" t="s">
        <v>90</v>
      </c>
      <c r="E61" s="1" t="s">
        <v>25</v>
      </c>
      <c r="F61" s="44">
        <v>58632</v>
      </c>
      <c r="G61" s="44">
        <v>49407</v>
      </c>
      <c r="H61" s="44">
        <v>9225</v>
      </c>
      <c r="I61" s="45">
        <v>0.47399999999999998</v>
      </c>
      <c r="J61" s="45">
        <v>69.83</v>
      </c>
      <c r="K61" s="45">
        <v>9.1199999999999992</v>
      </c>
      <c r="L61" s="45">
        <v>3.8</v>
      </c>
      <c r="M61" s="45">
        <v>4.6399999999999997</v>
      </c>
      <c r="N61" s="35">
        <v>31</v>
      </c>
      <c r="O61" s="35" t="s">
        <v>26</v>
      </c>
      <c r="P61" s="35">
        <v>187</v>
      </c>
      <c r="Q61" s="35">
        <v>35</v>
      </c>
      <c r="R61" s="225">
        <f t="shared" si="17"/>
        <v>0.72385905794447292</v>
      </c>
      <c r="S61" s="225">
        <f>+H61/(Q61*365)</f>
        <v>0.72211350293542076</v>
      </c>
      <c r="T61" s="225"/>
      <c r="U61" s="78">
        <f t="shared" si="21"/>
        <v>32.938356164383563</v>
      </c>
      <c r="V61" s="78">
        <f t="shared" si="22"/>
        <v>7.9760273972602738</v>
      </c>
      <c r="W61" s="36">
        <f t="shared" si="23"/>
        <v>187</v>
      </c>
      <c r="X61" s="36">
        <f t="shared" si="24"/>
        <v>35</v>
      </c>
      <c r="Y61" s="40">
        <f>IF(B61="Public", 'synthèse v2'!$F$62/1000, IF(B61="Privé non lucratif",'synthèse v2'!$F$61/1000, IF(B61="Privé", 'synthèse v2'!$F$60/1000, "")))</f>
        <v>43.762959354365371</v>
      </c>
      <c r="Z61" s="40">
        <f t="shared" si="18"/>
        <v>21.881479677182686</v>
      </c>
      <c r="AA61" s="40">
        <f t="shared" si="25"/>
        <v>32.938356164383563</v>
      </c>
      <c r="AB61" s="40">
        <f t="shared" si="26"/>
        <v>7.9760273972602738</v>
      </c>
      <c r="AC61" s="34">
        <f t="shared" si="27"/>
        <v>1441.4799420215279</v>
      </c>
      <c r="AD61" s="34">
        <f t="shared" si="28"/>
        <v>174.52728139780299</v>
      </c>
      <c r="AE61" s="34">
        <f t="shared" si="29"/>
        <v>1616.0072234193308</v>
      </c>
      <c r="AF61" s="36">
        <v>0</v>
      </c>
      <c r="AG61" s="36">
        <v>0</v>
      </c>
      <c r="AH61" s="39">
        <v>0</v>
      </c>
      <c r="AI61" s="39">
        <v>0</v>
      </c>
      <c r="AJ61" s="36">
        <f t="shared" si="30"/>
        <v>0</v>
      </c>
      <c r="AK61" s="36">
        <f t="shared" si="31"/>
        <v>0</v>
      </c>
      <c r="AL61" s="40"/>
      <c r="AM61" s="40"/>
      <c r="AN61" s="34">
        <f t="shared" si="32"/>
        <v>0</v>
      </c>
      <c r="AO61" s="34">
        <f t="shared" si="33"/>
        <v>0</v>
      </c>
      <c r="AP61" s="34">
        <f t="shared" si="34"/>
        <v>0</v>
      </c>
      <c r="AR61" s="34">
        <f t="shared" si="35"/>
        <v>1616.0072234193308</v>
      </c>
      <c r="AS61" s="34"/>
      <c r="AT61" s="29">
        <f>+VLOOKUP(C61,dotpop24!$A$10:$K$178,11,0)</f>
        <v>9773350.7300000004</v>
      </c>
      <c r="AU61" s="29">
        <f t="shared" si="36"/>
        <v>47791.446112469443</v>
      </c>
      <c r="AV61" s="29">
        <f t="shared" si="19"/>
        <v>23895.723056234721</v>
      </c>
      <c r="AW61" s="29">
        <f t="shared" si="37"/>
        <v>1764764.6154373349</v>
      </c>
    </row>
    <row r="62" spans="1:49">
      <c r="A62" s="1" t="s">
        <v>33</v>
      </c>
      <c r="B62" s="1" t="s">
        <v>34</v>
      </c>
      <c r="C62" s="98">
        <v>310781422</v>
      </c>
      <c r="D62" s="19" t="s">
        <v>91</v>
      </c>
      <c r="E62" s="19" t="s">
        <v>25</v>
      </c>
      <c r="F62" s="46">
        <v>20084</v>
      </c>
      <c r="G62" s="46">
        <v>9819</v>
      </c>
      <c r="H62" s="46">
        <v>10265</v>
      </c>
      <c r="I62" s="47">
        <v>0.50800000000000001</v>
      </c>
      <c r="J62" s="47">
        <v>9.4700000000000006</v>
      </c>
      <c r="K62" s="47">
        <v>9.99</v>
      </c>
      <c r="L62" s="47">
        <v>4.45</v>
      </c>
      <c r="M62" s="47">
        <v>3.03</v>
      </c>
      <c r="N62" s="35">
        <v>31</v>
      </c>
      <c r="O62" s="35" t="s">
        <v>26</v>
      </c>
      <c r="P62" s="35">
        <v>60</v>
      </c>
      <c r="Q62" s="35">
        <v>88</v>
      </c>
      <c r="R62" s="225"/>
      <c r="S62" s="225">
        <v>0</v>
      </c>
      <c r="T62" s="228" t="s">
        <v>661</v>
      </c>
      <c r="U62" s="78">
        <f t="shared" si="21"/>
        <v>30</v>
      </c>
      <c r="V62" s="78">
        <f t="shared" si="22"/>
        <v>55.44</v>
      </c>
      <c r="W62" s="36">
        <f t="shared" si="23"/>
        <v>0</v>
      </c>
      <c r="X62" s="36">
        <f t="shared" si="24"/>
        <v>0</v>
      </c>
      <c r="Y62" s="40">
        <f>IF(B62="Public", 'synthèse v2'!$F$62/1000, IF(B62="Privé non lucratif",'synthèse v2'!$F$61/1000, IF(B62="Privé", 'synthèse v2'!$F$60/1000, "")))</f>
        <v>36.984345997610518</v>
      </c>
      <c r="Z62" s="40">
        <f t="shared" si="18"/>
        <v>18.492172998805259</v>
      </c>
      <c r="AA62" s="40">
        <f t="shared" si="25"/>
        <v>0</v>
      </c>
      <c r="AB62" s="40">
        <f t="shared" si="26"/>
        <v>0</v>
      </c>
      <c r="AC62" s="34">
        <f t="shared" si="27"/>
        <v>0</v>
      </c>
      <c r="AD62" s="34">
        <f t="shared" si="28"/>
        <v>0</v>
      </c>
      <c r="AE62" s="34">
        <f t="shared" si="29"/>
        <v>0</v>
      </c>
      <c r="AF62" s="36">
        <v>60</v>
      </c>
      <c r="AG62" s="36">
        <v>88</v>
      </c>
      <c r="AH62" s="39">
        <v>0.4</v>
      </c>
      <c r="AI62" s="39">
        <v>0.32</v>
      </c>
      <c r="AJ62" s="36">
        <f t="shared" si="30"/>
        <v>30</v>
      </c>
      <c r="AK62" s="36">
        <f t="shared" si="31"/>
        <v>55.44</v>
      </c>
      <c r="AL62" s="40">
        <v>66</v>
      </c>
      <c r="AM62" s="40">
        <v>33</v>
      </c>
      <c r="AN62" s="34">
        <f t="shared" si="32"/>
        <v>1980</v>
      </c>
      <c r="AO62" s="34">
        <f t="shared" si="33"/>
        <v>1829.52</v>
      </c>
      <c r="AP62" s="34">
        <f t="shared" si="34"/>
        <v>3809.52</v>
      </c>
      <c r="AR62" s="34">
        <f t="shared" si="35"/>
        <v>3809.52</v>
      </c>
      <c r="AS62" s="34"/>
      <c r="AT62" s="29">
        <f>+VLOOKUP(C62,dotpop24!$A$10:$K$178,11,0)</f>
        <v>117916.73</v>
      </c>
      <c r="AU62" s="29">
        <f t="shared" si="36"/>
        <v>1133.8147115384616</v>
      </c>
      <c r="AV62" s="29">
        <f t="shared" si="19"/>
        <v>566.90735576923078</v>
      </c>
      <c r="AW62" s="29">
        <f t="shared" si="37"/>
        <v>0</v>
      </c>
    </row>
    <row r="63" spans="1:49">
      <c r="A63" s="1" t="s">
        <v>30</v>
      </c>
      <c r="B63" s="1" t="s">
        <v>30</v>
      </c>
      <c r="C63" s="97">
        <v>310781695</v>
      </c>
      <c r="D63" s="1" t="s">
        <v>92</v>
      </c>
      <c r="E63" s="1" t="s">
        <v>25</v>
      </c>
      <c r="F63" s="44">
        <v>30950</v>
      </c>
      <c r="G63" s="44">
        <v>30950</v>
      </c>
      <c r="H63" s="44">
        <v>0</v>
      </c>
      <c r="I63" s="45">
        <v>0.377</v>
      </c>
      <c r="J63" s="45">
        <v>81.099999999999994</v>
      </c>
      <c r="K63" s="45">
        <v>10.98</v>
      </c>
      <c r="L63" s="45">
        <v>3.64</v>
      </c>
      <c r="M63" s="45">
        <v>1.71</v>
      </c>
      <c r="N63" s="35">
        <v>31</v>
      </c>
      <c r="O63" s="35" t="s">
        <v>26</v>
      </c>
      <c r="P63" s="35">
        <v>113</v>
      </c>
      <c r="Q63" s="35">
        <v>0</v>
      </c>
      <c r="R63" s="225">
        <f t="shared" si="17"/>
        <v>0.75039398714995753</v>
      </c>
      <c r="S63" s="225"/>
      <c r="T63" s="225"/>
      <c r="U63" s="78">
        <f t="shared" si="21"/>
        <v>16.905479452054795</v>
      </c>
      <c r="V63" s="78">
        <f t="shared" si="22"/>
        <v>0</v>
      </c>
      <c r="W63" s="36">
        <f t="shared" si="23"/>
        <v>113</v>
      </c>
      <c r="X63" s="36">
        <f t="shared" si="24"/>
        <v>0</v>
      </c>
      <c r="Y63" s="40">
        <f>IF(B63="Public", 'synthèse v2'!$F$62/1000, IF(B63="Privé non lucratif",'synthèse v2'!$F$61/1000, IF(B63="Privé", 'synthèse v2'!$F$60/1000, "")))</f>
        <v>26.522545062955601</v>
      </c>
      <c r="Z63" s="40">
        <f t="shared" si="18"/>
        <v>13.2612725314778</v>
      </c>
      <c r="AA63" s="40">
        <f t="shared" si="25"/>
        <v>16.905479452054795</v>
      </c>
      <c r="AB63" s="40">
        <f t="shared" si="26"/>
        <v>0</v>
      </c>
      <c r="AC63" s="34">
        <f t="shared" si="27"/>
        <v>448.37634057799323</v>
      </c>
      <c r="AD63" s="34">
        <f t="shared" si="28"/>
        <v>0</v>
      </c>
      <c r="AE63" s="34">
        <f t="shared" si="29"/>
        <v>448.37634057799323</v>
      </c>
      <c r="AF63" s="36">
        <v>0</v>
      </c>
      <c r="AG63" s="36">
        <v>0</v>
      </c>
      <c r="AH63" s="39">
        <v>0</v>
      </c>
      <c r="AI63" s="39">
        <v>0</v>
      </c>
      <c r="AJ63" s="36">
        <f t="shared" si="30"/>
        <v>0</v>
      </c>
      <c r="AK63" s="36">
        <f t="shared" si="31"/>
        <v>0</v>
      </c>
      <c r="AL63" s="40"/>
      <c r="AM63" s="40"/>
      <c r="AN63" s="34">
        <f t="shared" si="32"/>
        <v>0</v>
      </c>
      <c r="AO63" s="34">
        <f t="shared" si="33"/>
        <v>0</v>
      </c>
      <c r="AP63" s="34">
        <f t="shared" si="34"/>
        <v>0</v>
      </c>
      <c r="AR63" s="34">
        <f t="shared" si="35"/>
        <v>448.37634057799323</v>
      </c>
      <c r="AS63" s="34"/>
      <c r="AT63" s="29">
        <f>+VLOOKUP(C63,dotpop24!$A$10:$K$178,11,0)</f>
        <v>2556409.58</v>
      </c>
      <c r="AU63" s="29">
        <f t="shared" si="36"/>
        <v>22623.093628318584</v>
      </c>
      <c r="AV63" s="29">
        <f t="shared" si="19"/>
        <v>11311.546814159292</v>
      </c>
      <c r="AW63" s="29">
        <f t="shared" si="37"/>
        <v>382454.24447545159</v>
      </c>
    </row>
    <row r="64" spans="1:49">
      <c r="A64" s="1" t="s">
        <v>30</v>
      </c>
      <c r="B64" s="1" t="s">
        <v>30</v>
      </c>
      <c r="C64" s="97">
        <v>310781984</v>
      </c>
      <c r="D64" s="1" t="s">
        <v>93</v>
      </c>
      <c r="E64" s="1" t="s">
        <v>25</v>
      </c>
      <c r="F64" s="44">
        <v>63974</v>
      </c>
      <c r="G64" s="44">
        <v>59163</v>
      </c>
      <c r="H64" s="44">
        <v>4811</v>
      </c>
      <c r="I64" s="45">
        <v>0.54700000000000004</v>
      </c>
      <c r="J64" s="45">
        <v>58.69</v>
      </c>
      <c r="K64" s="45">
        <v>10.1</v>
      </c>
      <c r="L64" s="45">
        <v>3.9</v>
      </c>
      <c r="M64" s="45">
        <v>3.28</v>
      </c>
      <c r="N64" s="35">
        <v>31</v>
      </c>
      <c r="O64" s="35" t="s">
        <v>26</v>
      </c>
      <c r="P64" s="35">
        <v>169</v>
      </c>
      <c r="Q64" s="35">
        <v>8</v>
      </c>
      <c r="R64" s="225">
        <f t="shared" si="17"/>
        <v>0.95911485774499472</v>
      </c>
      <c r="S64" s="225">
        <f>+H64/(Q64*365)</f>
        <v>1.6476027397260273</v>
      </c>
      <c r="T64" s="225"/>
      <c r="U64" s="78">
        <f t="shared" si="21"/>
        <v>0</v>
      </c>
      <c r="V64" s="78">
        <f t="shared" si="22"/>
        <v>0</v>
      </c>
      <c r="W64" s="36">
        <f t="shared" si="23"/>
        <v>169</v>
      </c>
      <c r="X64" s="36">
        <f t="shared" si="24"/>
        <v>8</v>
      </c>
      <c r="Y64" s="40">
        <f>IF(B64="Public", 'synthèse v2'!$F$62/1000, IF(B64="Privé non lucratif",'synthèse v2'!$F$61/1000, IF(B64="Privé", 'synthèse v2'!$F$60/1000, "")))</f>
        <v>26.522545062955601</v>
      </c>
      <c r="Z64" s="40">
        <f t="shared" si="18"/>
        <v>13.2612725314778</v>
      </c>
      <c r="AA64" s="40">
        <f t="shared" si="25"/>
        <v>0</v>
      </c>
      <c r="AB64" s="40">
        <f t="shared" si="26"/>
        <v>0</v>
      </c>
      <c r="AC64" s="34">
        <f t="shared" si="27"/>
        <v>0</v>
      </c>
      <c r="AD64" s="34">
        <f t="shared" si="28"/>
        <v>0</v>
      </c>
      <c r="AE64" s="34">
        <f t="shared" si="29"/>
        <v>0</v>
      </c>
      <c r="AF64" s="36">
        <v>0</v>
      </c>
      <c r="AG64" s="36">
        <v>0</v>
      </c>
      <c r="AH64" s="39">
        <v>0</v>
      </c>
      <c r="AI64" s="39">
        <v>0</v>
      </c>
      <c r="AJ64" s="36">
        <f t="shared" si="30"/>
        <v>0</v>
      </c>
      <c r="AK64" s="36">
        <f t="shared" si="31"/>
        <v>0</v>
      </c>
      <c r="AL64" s="40"/>
      <c r="AM64" s="40"/>
      <c r="AN64" s="34">
        <f t="shared" si="32"/>
        <v>0</v>
      </c>
      <c r="AO64" s="34">
        <f t="shared" si="33"/>
        <v>0</v>
      </c>
      <c r="AP64" s="34">
        <f t="shared" si="34"/>
        <v>0</v>
      </c>
      <c r="AR64" s="34">
        <f t="shared" si="35"/>
        <v>0</v>
      </c>
      <c r="AS64" s="34"/>
      <c r="AT64" s="29">
        <f>+VLOOKUP(C64,dotpop24!$A$10:$K$178,11,0)</f>
        <v>4240637</v>
      </c>
      <c r="AU64" s="29">
        <f t="shared" si="36"/>
        <v>24512.352601156068</v>
      </c>
      <c r="AV64" s="29">
        <f t="shared" si="19"/>
        <v>12256.176300578034</v>
      </c>
      <c r="AW64" s="29">
        <f t="shared" si="37"/>
        <v>0</v>
      </c>
    </row>
    <row r="65" spans="1:49">
      <c r="A65" s="1" t="s">
        <v>30</v>
      </c>
      <c r="B65" s="1" t="s">
        <v>30</v>
      </c>
      <c r="C65" s="97">
        <v>310782016</v>
      </c>
      <c r="D65" s="79" t="s">
        <v>94</v>
      </c>
      <c r="E65" s="1" t="s">
        <v>25</v>
      </c>
      <c r="F65" s="197">
        <v>16324</v>
      </c>
      <c r="G65" s="197">
        <v>16324</v>
      </c>
      <c r="H65" s="197">
        <v>0</v>
      </c>
      <c r="I65" s="45">
        <v>0.52800000000000002</v>
      </c>
      <c r="J65" s="45">
        <v>77.77</v>
      </c>
      <c r="K65" s="45">
        <v>9.64</v>
      </c>
      <c r="L65" s="45">
        <v>3.35</v>
      </c>
      <c r="M65" s="45">
        <v>1.68</v>
      </c>
      <c r="N65" s="35">
        <v>31</v>
      </c>
      <c r="O65" s="35" t="s">
        <v>26</v>
      </c>
      <c r="P65" s="79">
        <v>45</v>
      </c>
      <c r="Q65" s="79">
        <v>0</v>
      </c>
      <c r="R65" s="225">
        <f t="shared" si="17"/>
        <v>0.99385083713850841</v>
      </c>
      <c r="S65" s="225"/>
      <c r="T65" s="226" t="s">
        <v>661</v>
      </c>
      <c r="U65" s="78">
        <f t="shared" si="21"/>
        <v>0</v>
      </c>
      <c r="V65" s="78">
        <f t="shared" si="22"/>
        <v>0</v>
      </c>
      <c r="W65" s="36">
        <f t="shared" si="23"/>
        <v>45</v>
      </c>
      <c r="X65" s="36">
        <f t="shared" si="24"/>
        <v>0</v>
      </c>
      <c r="Y65" s="40">
        <f>IF(B65="Public", 'synthèse v2'!$F$62/1000, IF(B65="Privé non lucratif",'synthèse v2'!$F$61/1000, IF(B65="Privé", 'synthèse v2'!$F$60/1000, "")))</f>
        <v>26.522545062955601</v>
      </c>
      <c r="Z65" s="40">
        <f t="shared" si="18"/>
        <v>13.2612725314778</v>
      </c>
      <c r="AA65" s="40">
        <f t="shared" si="25"/>
        <v>0</v>
      </c>
      <c r="AB65" s="40">
        <f t="shared" si="26"/>
        <v>0</v>
      </c>
      <c r="AC65" s="34">
        <f t="shared" si="27"/>
        <v>0</v>
      </c>
      <c r="AD65" s="34">
        <f t="shared" si="28"/>
        <v>0</v>
      </c>
      <c r="AE65" s="34">
        <f t="shared" si="29"/>
        <v>0</v>
      </c>
      <c r="AF65" s="36">
        <v>0</v>
      </c>
      <c r="AG65" s="36">
        <v>0</v>
      </c>
      <c r="AH65" s="39">
        <v>0</v>
      </c>
      <c r="AI65" s="39">
        <v>0</v>
      </c>
      <c r="AJ65" s="36">
        <f t="shared" si="30"/>
        <v>0</v>
      </c>
      <c r="AK65" s="36">
        <f t="shared" si="31"/>
        <v>0</v>
      </c>
      <c r="AL65" s="40"/>
      <c r="AM65" s="40"/>
      <c r="AN65" s="34">
        <f t="shared" si="32"/>
        <v>0</v>
      </c>
      <c r="AO65" s="34">
        <f t="shared" si="33"/>
        <v>0</v>
      </c>
      <c r="AP65" s="34">
        <f t="shared" si="34"/>
        <v>0</v>
      </c>
      <c r="AR65" s="34">
        <f t="shared" si="35"/>
        <v>0</v>
      </c>
      <c r="AS65" s="34"/>
      <c r="AT65" s="29">
        <f>+VLOOKUP(C65,dotpop24!$A$10:$K$178,11,0)</f>
        <v>1681463.22</v>
      </c>
      <c r="AU65" s="29">
        <f t="shared" si="36"/>
        <v>37365.849333333332</v>
      </c>
      <c r="AV65" s="29">
        <f t="shared" si="19"/>
        <v>18682.924666666666</v>
      </c>
      <c r="AW65" s="29">
        <f t="shared" si="37"/>
        <v>0</v>
      </c>
    </row>
    <row r="66" spans="1:49">
      <c r="A66" s="1" t="s">
        <v>30</v>
      </c>
      <c r="B66" s="1" t="s">
        <v>30</v>
      </c>
      <c r="C66" s="97">
        <v>310782396</v>
      </c>
      <c r="D66" s="1" t="s">
        <v>97</v>
      </c>
      <c r="E66" s="1" t="s">
        <v>25</v>
      </c>
      <c r="F66" s="44">
        <v>41217</v>
      </c>
      <c r="G66" s="44">
        <v>34225</v>
      </c>
      <c r="H66" s="44">
        <v>6992</v>
      </c>
      <c r="I66" s="45">
        <v>0.433</v>
      </c>
      <c r="J66" s="45">
        <v>70.77</v>
      </c>
      <c r="K66" s="45">
        <v>8.9700000000000006</v>
      </c>
      <c r="L66" s="45">
        <v>3.34</v>
      </c>
      <c r="M66" s="45">
        <v>2.97</v>
      </c>
      <c r="N66" s="35">
        <v>31</v>
      </c>
      <c r="O66" s="35" t="s">
        <v>26</v>
      </c>
      <c r="P66" s="35">
        <v>95</v>
      </c>
      <c r="Q66" s="35">
        <v>15</v>
      </c>
      <c r="R66" s="225">
        <f t="shared" si="17"/>
        <v>0.98702235039653929</v>
      </c>
      <c r="S66" s="225">
        <f>+H66/(Q66*365)</f>
        <v>1.2770776255707763</v>
      </c>
      <c r="T66" s="225"/>
      <c r="U66" s="78">
        <f t="shared" si="21"/>
        <v>0</v>
      </c>
      <c r="V66" s="78">
        <f t="shared" si="22"/>
        <v>0</v>
      </c>
      <c r="W66" s="36">
        <f t="shared" si="23"/>
        <v>95</v>
      </c>
      <c r="X66" s="36">
        <f t="shared" si="24"/>
        <v>15</v>
      </c>
      <c r="Y66" s="40">
        <f>IF(B66="Public", 'synthèse v2'!$F$62/1000, IF(B66="Privé non lucratif",'synthèse v2'!$F$61/1000, IF(B66="Privé", 'synthèse v2'!$F$60/1000, "")))</f>
        <v>26.522545062955601</v>
      </c>
      <c r="Z66" s="40">
        <f t="shared" si="18"/>
        <v>13.2612725314778</v>
      </c>
      <c r="AA66" s="40">
        <f t="shared" si="25"/>
        <v>0</v>
      </c>
      <c r="AB66" s="40">
        <f t="shared" si="26"/>
        <v>0</v>
      </c>
      <c r="AC66" s="34">
        <f t="shared" si="27"/>
        <v>0</v>
      </c>
      <c r="AD66" s="34">
        <f t="shared" si="28"/>
        <v>0</v>
      </c>
      <c r="AE66" s="34">
        <f t="shared" si="29"/>
        <v>0</v>
      </c>
      <c r="AF66" s="36">
        <v>0</v>
      </c>
      <c r="AG66" s="36">
        <v>0</v>
      </c>
      <c r="AH66" s="39">
        <v>0</v>
      </c>
      <c r="AI66" s="39">
        <v>0</v>
      </c>
      <c r="AJ66" s="36">
        <f t="shared" si="30"/>
        <v>0</v>
      </c>
      <c r="AK66" s="36">
        <f t="shared" si="31"/>
        <v>0</v>
      </c>
      <c r="AL66" s="40"/>
      <c r="AM66" s="40"/>
      <c r="AN66" s="34">
        <f t="shared" si="32"/>
        <v>0</v>
      </c>
      <c r="AO66" s="34">
        <f t="shared" si="33"/>
        <v>0</v>
      </c>
      <c r="AP66" s="34">
        <f t="shared" si="34"/>
        <v>0</v>
      </c>
      <c r="AR66" s="34">
        <f t="shared" si="35"/>
        <v>0</v>
      </c>
      <c r="AS66" s="34"/>
      <c r="AT66" s="29">
        <f>+VLOOKUP(C66,dotpop24!$A$10:$K$178,11,0)</f>
        <v>3898397</v>
      </c>
      <c r="AU66" s="29">
        <f t="shared" si="36"/>
        <v>38033.141463414635</v>
      </c>
      <c r="AV66" s="29">
        <f t="shared" si="19"/>
        <v>19016.570731707317</v>
      </c>
      <c r="AW66" s="29">
        <f t="shared" si="37"/>
        <v>0</v>
      </c>
    </row>
    <row r="67" spans="1:49">
      <c r="A67" s="1" t="s">
        <v>30</v>
      </c>
      <c r="B67" s="1" t="s">
        <v>30</v>
      </c>
      <c r="C67" s="97">
        <v>310784830</v>
      </c>
      <c r="D67" s="1" t="s">
        <v>98</v>
      </c>
      <c r="E67" s="1" t="s">
        <v>25</v>
      </c>
      <c r="F67" s="44">
        <v>30431</v>
      </c>
      <c r="G67" s="44">
        <v>18666</v>
      </c>
      <c r="H67" s="44">
        <v>11765</v>
      </c>
      <c r="I67" s="45">
        <v>0.44600000000000001</v>
      </c>
      <c r="J67" s="45">
        <v>67.959999999999994</v>
      </c>
      <c r="K67" s="45">
        <v>7.62</v>
      </c>
      <c r="L67" s="45">
        <v>2.83</v>
      </c>
      <c r="M67" s="45">
        <v>2.87</v>
      </c>
      <c r="N67" s="35">
        <v>31</v>
      </c>
      <c r="O67" s="35" t="s">
        <v>26</v>
      </c>
      <c r="P67" s="35">
        <v>84</v>
      </c>
      <c r="Q67" s="35">
        <v>5</v>
      </c>
      <c r="R67" s="225">
        <f t="shared" si="17"/>
        <v>0.60880626223091971</v>
      </c>
      <c r="S67" s="225">
        <f>+H67/(Q67*365)</f>
        <v>6.4465753424657537</v>
      </c>
      <c r="T67" s="225"/>
      <c r="U67" s="78">
        <f t="shared" si="21"/>
        <v>24.460273972602739</v>
      </c>
      <c r="V67" s="78">
        <f t="shared" si="22"/>
        <v>0</v>
      </c>
      <c r="W67" s="36">
        <f t="shared" si="23"/>
        <v>84</v>
      </c>
      <c r="X67" s="36">
        <f t="shared" si="24"/>
        <v>5</v>
      </c>
      <c r="Y67" s="40">
        <f>IF(B67="Public", 'synthèse v2'!$F$62/1000, IF(B67="Privé non lucratif",'synthèse v2'!$F$61/1000, IF(B67="Privé", 'synthèse v2'!$F$60/1000, "")))</f>
        <v>26.522545062955601</v>
      </c>
      <c r="Z67" s="40">
        <f t="shared" si="18"/>
        <v>13.2612725314778</v>
      </c>
      <c r="AA67" s="40">
        <f t="shared" si="25"/>
        <v>24.460273972602739</v>
      </c>
      <c r="AB67" s="40">
        <f t="shared" si="26"/>
        <v>0</v>
      </c>
      <c r="AC67" s="34">
        <f t="shared" si="27"/>
        <v>648.74871869059609</v>
      </c>
      <c r="AD67" s="34">
        <f t="shared" si="28"/>
        <v>0</v>
      </c>
      <c r="AE67" s="34">
        <f t="shared" si="29"/>
        <v>648.74871869059609</v>
      </c>
      <c r="AF67" s="36">
        <v>0</v>
      </c>
      <c r="AG67" s="36">
        <v>0</v>
      </c>
      <c r="AH67" s="39">
        <v>0</v>
      </c>
      <c r="AI67" s="39">
        <v>0</v>
      </c>
      <c r="AJ67" s="36">
        <f t="shared" si="30"/>
        <v>0</v>
      </c>
      <c r="AK67" s="36">
        <f t="shared" si="31"/>
        <v>0</v>
      </c>
      <c r="AL67" s="40"/>
      <c r="AM67" s="40"/>
      <c r="AN67" s="34">
        <f t="shared" si="32"/>
        <v>0</v>
      </c>
      <c r="AO67" s="34">
        <f t="shared" si="33"/>
        <v>0</v>
      </c>
      <c r="AP67" s="34">
        <f t="shared" si="34"/>
        <v>0</v>
      </c>
      <c r="AR67" s="34">
        <f t="shared" si="35"/>
        <v>648.74871869059609</v>
      </c>
      <c r="AS67" s="34"/>
      <c r="AT67" s="29">
        <f>+VLOOKUP(C67,dotpop24!$A$10:$K$178,11,0)</f>
        <v>4175932.78</v>
      </c>
      <c r="AU67" s="29">
        <f t="shared" si="36"/>
        <v>48276.67953757225</v>
      </c>
      <c r="AV67" s="29">
        <f t="shared" si="19"/>
        <v>24138.339768786125</v>
      </c>
      <c r="AW67" s="29">
        <f t="shared" si="37"/>
        <v>1180860.8079765618</v>
      </c>
    </row>
    <row r="68" spans="1:49">
      <c r="A68" s="1" t="s">
        <v>22</v>
      </c>
      <c r="B68" s="1" t="s">
        <v>23</v>
      </c>
      <c r="C68" s="97">
        <v>310786256</v>
      </c>
      <c r="D68" s="1" t="s">
        <v>99</v>
      </c>
      <c r="E68" s="1" t="s">
        <v>25</v>
      </c>
      <c r="F68" s="44">
        <v>12333</v>
      </c>
      <c r="G68" s="44">
        <v>12333</v>
      </c>
      <c r="H68" s="44">
        <v>0</v>
      </c>
      <c r="I68" s="45">
        <v>0.38100000000000001</v>
      </c>
      <c r="J68" s="45">
        <v>84.79</v>
      </c>
      <c r="K68" s="45">
        <v>11.18</v>
      </c>
      <c r="L68" s="45">
        <v>3.75</v>
      </c>
      <c r="M68" s="45">
        <v>1.71</v>
      </c>
      <c r="N68" s="35">
        <v>31</v>
      </c>
      <c r="O68" s="35" t="s">
        <v>26</v>
      </c>
      <c r="P68" s="35">
        <v>35</v>
      </c>
      <c r="Q68" s="35">
        <v>0</v>
      </c>
      <c r="R68" s="225">
        <f t="shared" si="17"/>
        <v>0.9654011741682974</v>
      </c>
      <c r="S68" s="225"/>
      <c r="T68" s="225"/>
      <c r="U68" s="78">
        <f t="shared" si="21"/>
        <v>0</v>
      </c>
      <c r="V68" s="78">
        <f t="shared" si="22"/>
        <v>0</v>
      </c>
      <c r="W68" s="36">
        <f t="shared" si="23"/>
        <v>35</v>
      </c>
      <c r="X68" s="36">
        <f t="shared" si="24"/>
        <v>0</v>
      </c>
      <c r="Y68" s="40">
        <f>IF(B68="Public", 'synthèse v2'!$F$62/1000, IF(B68="Privé non lucratif",'synthèse v2'!$F$61/1000, IF(B68="Privé", 'synthèse v2'!$F$60/1000, "")))</f>
        <v>43.762959354365371</v>
      </c>
      <c r="Z68" s="40">
        <f t="shared" ref="Z68:Z131" si="38">+Y68/2</f>
        <v>21.881479677182686</v>
      </c>
      <c r="AA68" s="40">
        <f t="shared" si="25"/>
        <v>0</v>
      </c>
      <c r="AB68" s="40">
        <f t="shared" si="26"/>
        <v>0</v>
      </c>
      <c r="AC68" s="34">
        <f t="shared" si="27"/>
        <v>0</v>
      </c>
      <c r="AD68" s="34">
        <f t="shared" si="28"/>
        <v>0</v>
      </c>
      <c r="AE68" s="34">
        <f t="shared" si="29"/>
        <v>0</v>
      </c>
      <c r="AF68" s="36">
        <v>0</v>
      </c>
      <c r="AG68" s="36">
        <v>0</v>
      </c>
      <c r="AH68" s="39">
        <v>0</v>
      </c>
      <c r="AI68" s="39">
        <v>0</v>
      </c>
      <c r="AJ68" s="36">
        <f t="shared" si="30"/>
        <v>0</v>
      </c>
      <c r="AK68" s="36">
        <f t="shared" si="31"/>
        <v>0</v>
      </c>
      <c r="AL68" s="40"/>
      <c r="AM68" s="40"/>
      <c r="AN68" s="34">
        <f t="shared" si="32"/>
        <v>0</v>
      </c>
      <c r="AO68" s="34">
        <f t="shared" si="33"/>
        <v>0</v>
      </c>
      <c r="AP68" s="34">
        <f t="shared" si="34"/>
        <v>0</v>
      </c>
      <c r="AR68" s="34">
        <f t="shared" si="35"/>
        <v>0</v>
      </c>
      <c r="AS68" s="34"/>
      <c r="AT68" s="29">
        <f>+VLOOKUP(C68,dotpop24!$A$10:$K$178,11,0)</f>
        <v>1506874.96</v>
      </c>
      <c r="AU68" s="29">
        <f t="shared" si="36"/>
        <v>43053.570285714282</v>
      </c>
      <c r="AV68" s="29">
        <f t="shared" si="19"/>
        <v>21526.785142857141</v>
      </c>
      <c r="AW68" s="29">
        <f t="shared" si="37"/>
        <v>0</v>
      </c>
    </row>
    <row r="69" spans="1:49">
      <c r="A69" s="1" t="s">
        <v>30</v>
      </c>
      <c r="B69" s="1" t="s">
        <v>30</v>
      </c>
      <c r="C69" s="97">
        <v>310786389</v>
      </c>
      <c r="D69" s="1" t="s">
        <v>100</v>
      </c>
      <c r="E69" s="1" t="s">
        <v>25</v>
      </c>
      <c r="F69" s="44">
        <v>40470</v>
      </c>
      <c r="G69" s="44">
        <v>36542</v>
      </c>
      <c r="H69" s="44">
        <v>3928</v>
      </c>
      <c r="I69" s="45">
        <v>0.30599999999999999</v>
      </c>
      <c r="J69" s="45">
        <v>81.63</v>
      </c>
      <c r="K69" s="45">
        <v>10.1</v>
      </c>
      <c r="L69" s="45">
        <v>4.2</v>
      </c>
      <c r="M69" s="45">
        <v>1.49</v>
      </c>
      <c r="N69" s="35">
        <v>31</v>
      </c>
      <c r="O69" s="35" t="s">
        <v>26</v>
      </c>
      <c r="P69" s="35">
        <v>108</v>
      </c>
      <c r="Q69" s="35">
        <v>20</v>
      </c>
      <c r="R69" s="225">
        <f t="shared" si="17"/>
        <v>0.92699137493658046</v>
      </c>
      <c r="S69" s="225">
        <f>+H69/(Q69*365)</f>
        <v>0.53808219178082195</v>
      </c>
      <c r="T69" s="225"/>
      <c r="U69" s="78">
        <f t="shared" ref="U69:U100" si="39">AJ69+AA69</f>
        <v>0</v>
      </c>
      <c r="V69" s="78">
        <f t="shared" ref="V69:V100" si="40">AK69+AB69</f>
        <v>8.2383561643835606</v>
      </c>
      <c r="W69" s="36">
        <f t="shared" ref="W69:W100" si="41">IFERROR(
   IF(P69 - AF69 &gt; 0,
      P69 - AF69,
      0
   ),
   0
)</f>
        <v>108</v>
      </c>
      <c r="X69" s="36">
        <f t="shared" ref="X69:X100" si="42">IFERROR(
   IF(Q69 - AG69 &gt; 0,
      Q69 - AG69,
      0
   ),
   0
)</f>
        <v>20</v>
      </c>
      <c r="Y69" s="40">
        <f>IF(B69="Public", 'synthèse v2'!$F$62/1000, IF(B69="Privé non lucratif",'synthèse v2'!$F$61/1000, IF(B69="Privé", 'synthèse v2'!$F$60/1000, "")))</f>
        <v>26.522545062955601</v>
      </c>
      <c r="Z69" s="40">
        <f t="shared" si="38"/>
        <v>13.2612725314778</v>
      </c>
      <c r="AA69" s="40">
        <f t="shared" ref="AA69:AA100" si="43">IFERROR(
  IF(
    (((W69*365*$AA$2) - (W69*365*R69)) / 365) &gt; 0,
    ((W69*365*$AA$2) - (W69*365*R69)) / 365,
    0
  ),
  0
)</f>
        <v>0</v>
      </c>
      <c r="AB69" s="40">
        <f t="shared" ref="AB69:AB100" si="44">IFERROR(
  IF(
    (((X69*365*$AB$2) - (X69*365*S69)) / 365) &gt; 0,
    ((X69*365*$AB$2) - (X69*365*S69)) / 365,
    0
  ),
  0
)</f>
        <v>8.2383561643835606</v>
      </c>
      <c r="AC69" s="34">
        <f t="shared" ref="AC69:AC100" si="45">AA69*Y69</f>
        <v>0</v>
      </c>
      <c r="AD69" s="34">
        <f t="shared" ref="AD69:AD100" si="46">AB69*Z69</f>
        <v>109.25108630727053</v>
      </c>
      <c r="AE69" s="34">
        <f t="shared" ref="AE69:AE100" si="47">AC69+AD69</f>
        <v>109.25108630727053</v>
      </c>
      <c r="AF69" s="36">
        <v>0</v>
      </c>
      <c r="AG69" s="36">
        <v>0</v>
      </c>
      <c r="AH69" s="39">
        <v>0</v>
      </c>
      <c r="AI69" s="39">
        <v>0</v>
      </c>
      <c r="AJ69" s="36">
        <f t="shared" ref="AJ69:AJ100" si="48">IF((((AF69*365*$AJ$2) - (AF69*365*AH69)) / 365) &gt; 0,
    ((AF69*365*$AJ$2) - (AF69*365*AH69)) / 365,
    0)</f>
        <v>0</v>
      </c>
      <c r="AK69" s="36">
        <f t="shared" ref="AK69:AK100" si="49">IF(
  (((AG69*365*$AK$2) - (AG69*365*AI69)) / 365) &gt; 0,
  ((AG69*365*$AK$2) - (AG69*365*AI69)) / 365,
  0
)</f>
        <v>0</v>
      </c>
      <c r="AL69" s="40"/>
      <c r="AM69" s="40"/>
      <c r="AN69" s="34">
        <f t="shared" ref="AN69:AN100" si="50">AJ69*AL69</f>
        <v>0</v>
      </c>
      <c r="AO69" s="34">
        <f t="shared" ref="AO69:AO100" si="51">AK69*AM69</f>
        <v>0</v>
      </c>
      <c r="AP69" s="34">
        <f t="shared" ref="AP69:AP100" si="52">AN69 + AO69</f>
        <v>0</v>
      </c>
      <c r="AR69" s="34">
        <f t="shared" ref="AR69:AR100" si="53">AP69+AE69</f>
        <v>109.25108630727053</v>
      </c>
      <c r="AS69" s="34"/>
      <c r="AT69" s="29">
        <f>+VLOOKUP(C69,dotpop24!$A$10:$K$178,11,0)</f>
        <v>2455708.52</v>
      </c>
      <c r="AU69" s="29">
        <f t="shared" ref="AU69:AU100" si="54">+AT69/(P69+Q69*0.5)</f>
        <v>20811.089152542372</v>
      </c>
      <c r="AV69" s="29">
        <f t="shared" si="19"/>
        <v>10405.544576271186</v>
      </c>
      <c r="AW69" s="29">
        <f t="shared" ref="AW69:AW100" si="55">+(AA69*AU69)+(AB69*AV69)</f>
        <v>85724.582303691655</v>
      </c>
    </row>
    <row r="70" spans="1:49">
      <c r="A70" s="1" t="s">
        <v>30</v>
      </c>
      <c r="B70" s="1" t="s">
        <v>34</v>
      </c>
      <c r="C70" s="97">
        <v>310786702</v>
      </c>
      <c r="D70" s="1" t="s">
        <v>101</v>
      </c>
      <c r="E70" s="1" t="s">
        <v>25</v>
      </c>
      <c r="F70" s="44">
        <v>21980</v>
      </c>
      <c r="G70" s="44">
        <v>18216</v>
      </c>
      <c r="H70" s="44">
        <v>3764</v>
      </c>
      <c r="I70" s="45">
        <v>0.38400000000000001</v>
      </c>
      <c r="J70" s="45">
        <v>83.79</v>
      </c>
      <c r="K70" s="45">
        <v>11.27</v>
      </c>
      <c r="L70" s="45">
        <v>4.82</v>
      </c>
      <c r="M70" s="45">
        <v>1.59</v>
      </c>
      <c r="N70" s="35">
        <v>31</v>
      </c>
      <c r="O70" s="35" t="s">
        <v>26</v>
      </c>
      <c r="P70" s="35">
        <v>53</v>
      </c>
      <c r="Q70" s="35">
        <v>20</v>
      </c>
      <c r="R70" s="225">
        <f t="shared" ref="R70:R133" si="56">+G70/(P70*365)</f>
        <v>0.94163866632204707</v>
      </c>
      <c r="S70" s="225">
        <f>+H70/(Q70*365)</f>
        <v>0.51561643835616433</v>
      </c>
      <c r="T70" s="225"/>
      <c r="U70" s="78">
        <f t="shared" si="39"/>
        <v>0</v>
      </c>
      <c r="V70" s="78">
        <f t="shared" si="40"/>
        <v>8.6876712328767134</v>
      </c>
      <c r="W70" s="36">
        <f t="shared" si="41"/>
        <v>53</v>
      </c>
      <c r="X70" s="36">
        <f t="shared" si="42"/>
        <v>20</v>
      </c>
      <c r="Y70" s="40">
        <f>IF(B70="Public", 'synthèse v2'!$F$62/1000, IF(B70="Privé non lucratif",'synthèse v2'!$F$61/1000, IF(B70="Privé", 'synthèse v2'!$F$60/1000, "")))</f>
        <v>36.984345997610518</v>
      </c>
      <c r="Z70" s="40">
        <f t="shared" si="38"/>
        <v>18.492172998805259</v>
      </c>
      <c r="AA70" s="40">
        <f t="shared" si="43"/>
        <v>0</v>
      </c>
      <c r="AB70" s="40">
        <f t="shared" si="44"/>
        <v>8.6876712328767134</v>
      </c>
      <c r="AC70" s="34">
        <f t="shared" si="45"/>
        <v>0</v>
      </c>
      <c r="AD70" s="34">
        <f t="shared" si="46"/>
        <v>160.65391939509996</v>
      </c>
      <c r="AE70" s="34">
        <f t="shared" si="47"/>
        <v>160.65391939509996</v>
      </c>
      <c r="AF70" s="36">
        <v>0</v>
      </c>
      <c r="AG70" s="36">
        <v>0</v>
      </c>
      <c r="AH70" s="39">
        <v>0</v>
      </c>
      <c r="AI70" s="39">
        <v>0</v>
      </c>
      <c r="AJ70" s="36">
        <f t="shared" si="48"/>
        <v>0</v>
      </c>
      <c r="AK70" s="36">
        <f t="shared" si="49"/>
        <v>0</v>
      </c>
      <c r="AL70" s="40"/>
      <c r="AM70" s="40"/>
      <c r="AN70" s="34">
        <f t="shared" si="50"/>
        <v>0</v>
      </c>
      <c r="AO70" s="34">
        <f t="shared" si="51"/>
        <v>0</v>
      </c>
      <c r="AP70" s="34">
        <f t="shared" si="52"/>
        <v>0</v>
      </c>
      <c r="AR70" s="34">
        <f t="shared" si="53"/>
        <v>160.65391939509996</v>
      </c>
      <c r="AS70" s="34"/>
      <c r="AT70" s="29">
        <f>+VLOOKUP(C70,dotpop24!$A$10:$K$178,11,0)</f>
        <v>1553046.57</v>
      </c>
      <c r="AU70" s="29">
        <f t="shared" si="54"/>
        <v>24651.532857142858</v>
      </c>
      <c r="AV70" s="29">
        <f t="shared" ref="AV70:AV133" si="57">AU70/2</f>
        <v>12325.766428571429</v>
      </c>
      <c r="AW70" s="29">
        <f t="shared" si="55"/>
        <v>107082.20642465755</v>
      </c>
    </row>
    <row r="71" spans="1:49">
      <c r="A71" s="1" t="s">
        <v>33</v>
      </c>
      <c r="B71" s="1" t="s">
        <v>34</v>
      </c>
      <c r="C71" s="97">
        <v>310787965</v>
      </c>
      <c r="D71" s="1" t="s">
        <v>102</v>
      </c>
      <c r="E71" s="1" t="s">
        <v>25</v>
      </c>
      <c r="F71" s="44">
        <v>6380</v>
      </c>
      <c r="G71" s="44">
        <v>0</v>
      </c>
      <c r="H71" s="44">
        <v>6380</v>
      </c>
      <c r="I71" s="45">
        <v>0.48</v>
      </c>
      <c r="J71" s="45">
        <v>57.38</v>
      </c>
      <c r="K71" s="45">
        <v>5.27</v>
      </c>
      <c r="L71" s="45">
        <v>2.08</v>
      </c>
      <c r="M71" s="45">
        <v>3.43</v>
      </c>
      <c r="N71" s="35">
        <v>31</v>
      </c>
      <c r="O71" s="35" t="s">
        <v>26</v>
      </c>
      <c r="P71" s="35">
        <v>0</v>
      </c>
      <c r="Q71" s="35">
        <v>30</v>
      </c>
      <c r="R71" s="225"/>
      <c r="S71" s="225">
        <f>+H71/(Q71*365)</f>
        <v>0.58264840182648403</v>
      </c>
      <c r="T71" s="225"/>
      <c r="U71" s="78">
        <f t="shared" si="39"/>
        <v>0</v>
      </c>
      <c r="V71" s="78">
        <f t="shared" si="40"/>
        <v>11.020547945205479</v>
      </c>
      <c r="W71" s="36">
        <f t="shared" si="41"/>
        <v>0</v>
      </c>
      <c r="X71" s="36">
        <f t="shared" si="42"/>
        <v>30</v>
      </c>
      <c r="Y71" s="40">
        <f>IF(B71="Public", 'synthèse v2'!$F$62/1000, IF(B71="Privé non lucratif",'synthèse v2'!$F$61/1000, IF(B71="Privé", 'synthèse v2'!$F$60/1000, "")))</f>
        <v>36.984345997610518</v>
      </c>
      <c r="Z71" s="40">
        <f t="shared" si="38"/>
        <v>18.492172998805259</v>
      </c>
      <c r="AA71" s="40">
        <f t="shared" si="43"/>
        <v>0</v>
      </c>
      <c r="AB71" s="40">
        <f t="shared" si="44"/>
        <v>11.020547945205479</v>
      </c>
      <c r="AC71" s="34">
        <f t="shared" si="45"/>
        <v>0</v>
      </c>
      <c r="AD71" s="34">
        <f t="shared" si="46"/>
        <v>203.79387914436754</v>
      </c>
      <c r="AE71" s="34">
        <f t="shared" si="47"/>
        <v>203.79387914436754</v>
      </c>
      <c r="AF71" s="36">
        <v>0</v>
      </c>
      <c r="AG71" s="36">
        <v>0</v>
      </c>
      <c r="AH71" s="39">
        <v>0</v>
      </c>
      <c r="AI71" s="39">
        <v>0</v>
      </c>
      <c r="AJ71" s="36">
        <f t="shared" si="48"/>
        <v>0</v>
      </c>
      <c r="AK71" s="36">
        <f t="shared" si="49"/>
        <v>0</v>
      </c>
      <c r="AL71" s="40"/>
      <c r="AM71" s="40"/>
      <c r="AN71" s="34">
        <f t="shared" si="50"/>
        <v>0</v>
      </c>
      <c r="AO71" s="34">
        <f t="shared" si="51"/>
        <v>0</v>
      </c>
      <c r="AP71" s="34">
        <f t="shared" si="52"/>
        <v>0</v>
      </c>
      <c r="AR71" s="34">
        <f t="shared" si="53"/>
        <v>203.79387914436754</v>
      </c>
      <c r="AS71" s="34"/>
      <c r="AT71" s="137">
        <v>576489.37</v>
      </c>
      <c r="AU71" s="29">
        <f t="shared" si="54"/>
        <v>38432.624666666663</v>
      </c>
      <c r="AV71" s="29">
        <f t="shared" si="57"/>
        <v>19216.312333333331</v>
      </c>
      <c r="AW71" s="29">
        <f t="shared" si="55"/>
        <v>211774.29139954335</v>
      </c>
    </row>
    <row r="72" spans="1:49">
      <c r="A72" s="1" t="s">
        <v>30</v>
      </c>
      <c r="B72" s="1" t="s">
        <v>30</v>
      </c>
      <c r="C72" s="97">
        <v>310790472</v>
      </c>
      <c r="D72" s="1" t="s">
        <v>103</v>
      </c>
      <c r="E72" s="1" t="s">
        <v>25</v>
      </c>
      <c r="F72" s="44">
        <v>54405</v>
      </c>
      <c r="G72" s="44">
        <v>39555</v>
      </c>
      <c r="H72" s="44">
        <v>14850</v>
      </c>
      <c r="I72" s="45">
        <v>0.66500000000000004</v>
      </c>
      <c r="J72" s="45">
        <v>63.76</v>
      </c>
      <c r="K72" s="45">
        <v>6.73</v>
      </c>
      <c r="L72" s="45">
        <v>3.45</v>
      </c>
      <c r="M72" s="45">
        <v>3.09</v>
      </c>
      <c r="N72" s="35">
        <v>31</v>
      </c>
      <c r="O72" s="35" t="s">
        <v>26</v>
      </c>
      <c r="P72" s="35">
        <v>141</v>
      </c>
      <c r="Q72" s="35">
        <v>60</v>
      </c>
      <c r="R72" s="225">
        <f t="shared" si="56"/>
        <v>0.76858058874963564</v>
      </c>
      <c r="S72" s="225">
        <f>+H72/(Q72*365)</f>
        <v>0.67808219178082196</v>
      </c>
      <c r="T72" s="225"/>
      <c r="U72" s="78">
        <f t="shared" si="39"/>
        <v>18.530136986301368</v>
      </c>
      <c r="V72" s="78">
        <f t="shared" si="40"/>
        <v>16.31506849315068</v>
      </c>
      <c r="W72" s="36">
        <f t="shared" si="41"/>
        <v>141</v>
      </c>
      <c r="X72" s="36">
        <f t="shared" si="42"/>
        <v>60</v>
      </c>
      <c r="Y72" s="40">
        <f>IF(B72="Public", 'synthèse v2'!$F$62/1000, IF(B72="Privé non lucratif",'synthèse v2'!$F$61/1000, IF(B72="Privé", 'synthèse v2'!$F$60/1000, "")))</f>
        <v>26.522545062955601</v>
      </c>
      <c r="Z72" s="40">
        <f t="shared" si="38"/>
        <v>13.2612725314778</v>
      </c>
      <c r="AA72" s="40">
        <f t="shared" si="43"/>
        <v>18.530136986301368</v>
      </c>
      <c r="AB72" s="40">
        <f t="shared" si="44"/>
        <v>16.31506849315068</v>
      </c>
      <c r="AC72" s="34">
        <f t="shared" si="45"/>
        <v>491.46639324191835</v>
      </c>
      <c r="AD72" s="34">
        <f t="shared" si="46"/>
        <v>216.35856965739802</v>
      </c>
      <c r="AE72" s="34">
        <f t="shared" si="47"/>
        <v>707.82496289931635</v>
      </c>
      <c r="AF72" s="36">
        <v>0</v>
      </c>
      <c r="AG72" s="36">
        <v>0</v>
      </c>
      <c r="AH72" s="39">
        <v>0</v>
      </c>
      <c r="AI72" s="39">
        <v>0</v>
      </c>
      <c r="AJ72" s="36">
        <f t="shared" si="48"/>
        <v>0</v>
      </c>
      <c r="AK72" s="36">
        <f t="shared" si="49"/>
        <v>0</v>
      </c>
      <c r="AL72" s="40"/>
      <c r="AM72" s="40"/>
      <c r="AN72" s="34">
        <f t="shared" si="50"/>
        <v>0</v>
      </c>
      <c r="AO72" s="34">
        <f t="shared" si="51"/>
        <v>0</v>
      </c>
      <c r="AP72" s="34">
        <f t="shared" si="52"/>
        <v>0</v>
      </c>
      <c r="AR72" s="34">
        <f t="shared" si="53"/>
        <v>707.82496289931635</v>
      </c>
      <c r="AS72" s="34"/>
      <c r="AT72" s="29">
        <f>+VLOOKUP(C72,dotpop24!$A$10:$K$178,11,0)</f>
        <v>5587951</v>
      </c>
      <c r="AU72" s="29">
        <f t="shared" si="54"/>
        <v>32678.076023391812</v>
      </c>
      <c r="AV72" s="29">
        <f t="shared" si="57"/>
        <v>16339.038011695906</v>
      </c>
      <c r="AW72" s="29">
        <f t="shared" si="55"/>
        <v>872101.74943523179</v>
      </c>
    </row>
    <row r="73" spans="1:49">
      <c r="A73" s="1" t="s">
        <v>30</v>
      </c>
      <c r="B73" s="1" t="s">
        <v>30</v>
      </c>
      <c r="C73" s="97">
        <v>310792635</v>
      </c>
      <c r="D73" s="1" t="s">
        <v>104</v>
      </c>
      <c r="E73" s="1" t="s">
        <v>25</v>
      </c>
      <c r="F73" s="44">
        <v>32696</v>
      </c>
      <c r="G73" s="44">
        <v>21073</v>
      </c>
      <c r="H73" s="44">
        <v>11623</v>
      </c>
      <c r="I73" s="45">
        <v>0.40899999999999997</v>
      </c>
      <c r="J73" s="45">
        <v>74.510000000000005</v>
      </c>
      <c r="K73" s="45">
        <v>7.6</v>
      </c>
      <c r="L73" s="45">
        <v>3.17</v>
      </c>
      <c r="M73" s="45">
        <v>1.06</v>
      </c>
      <c r="N73" s="35">
        <v>31</v>
      </c>
      <c r="O73" s="35" t="s">
        <v>26</v>
      </c>
      <c r="P73" s="35">
        <v>108</v>
      </c>
      <c r="Q73" s="35">
        <v>10</v>
      </c>
      <c r="R73" s="225">
        <f t="shared" si="56"/>
        <v>0.53457635717909691</v>
      </c>
      <c r="S73" s="225">
        <f>+H73/(Q73*365)</f>
        <v>3.1843835616438354</v>
      </c>
      <c r="T73" s="225"/>
      <c r="U73" s="78">
        <f t="shared" si="39"/>
        <v>39.465753424657535</v>
      </c>
      <c r="V73" s="78">
        <f t="shared" si="40"/>
        <v>0</v>
      </c>
      <c r="W73" s="36">
        <f t="shared" si="41"/>
        <v>108</v>
      </c>
      <c r="X73" s="36">
        <f t="shared" si="42"/>
        <v>10</v>
      </c>
      <c r="Y73" s="40">
        <f>IF(B73="Public", 'synthèse v2'!$F$62/1000, IF(B73="Privé non lucratif",'synthèse v2'!$F$61/1000, IF(B73="Privé", 'synthèse v2'!$F$60/1000, "")))</f>
        <v>26.522545062955601</v>
      </c>
      <c r="Z73" s="40">
        <f t="shared" si="38"/>
        <v>13.2612725314778</v>
      </c>
      <c r="AA73" s="40">
        <f t="shared" si="43"/>
        <v>39.465753424657535</v>
      </c>
      <c r="AB73" s="40">
        <f t="shared" si="44"/>
        <v>0</v>
      </c>
      <c r="AC73" s="34">
        <f t="shared" si="45"/>
        <v>1046.7322236489738</v>
      </c>
      <c r="AD73" s="34">
        <f t="shared" si="46"/>
        <v>0</v>
      </c>
      <c r="AE73" s="34">
        <f t="shared" si="47"/>
        <v>1046.7322236489738</v>
      </c>
      <c r="AF73" s="36">
        <v>0</v>
      </c>
      <c r="AG73" s="36">
        <v>0</v>
      </c>
      <c r="AH73" s="39">
        <v>0</v>
      </c>
      <c r="AI73" s="39">
        <v>0</v>
      </c>
      <c r="AJ73" s="36">
        <f t="shared" si="48"/>
        <v>0</v>
      </c>
      <c r="AK73" s="36">
        <f t="shared" si="49"/>
        <v>0</v>
      </c>
      <c r="AL73" s="40"/>
      <c r="AM73" s="40"/>
      <c r="AN73" s="34">
        <f t="shared" si="50"/>
        <v>0</v>
      </c>
      <c r="AO73" s="34">
        <f t="shared" si="51"/>
        <v>0</v>
      </c>
      <c r="AP73" s="34">
        <f t="shared" si="52"/>
        <v>0</v>
      </c>
      <c r="AR73" s="34">
        <f t="shared" si="53"/>
        <v>1046.7322236489738</v>
      </c>
      <c r="AS73" s="34"/>
      <c r="AT73" s="29">
        <f>+VLOOKUP(C73,dotpop24!$A$10:$K$178,11,0)</f>
        <v>2679165.59</v>
      </c>
      <c r="AU73" s="29">
        <f t="shared" si="54"/>
        <v>23709.43</v>
      </c>
      <c r="AV73" s="29">
        <f t="shared" si="57"/>
        <v>11854.715</v>
      </c>
      <c r="AW73" s="29">
        <f t="shared" si="55"/>
        <v>935710.51821917808</v>
      </c>
    </row>
    <row r="74" spans="1:49">
      <c r="A74" s="1" t="s">
        <v>33</v>
      </c>
      <c r="B74" s="1" t="s">
        <v>34</v>
      </c>
      <c r="C74" s="98">
        <v>310792874</v>
      </c>
      <c r="D74" s="19" t="s">
        <v>105</v>
      </c>
      <c r="E74" s="19" t="s">
        <v>25</v>
      </c>
      <c r="F74" s="46">
        <v>3152</v>
      </c>
      <c r="G74" s="46">
        <v>2306</v>
      </c>
      <c r="H74" s="46">
        <v>846</v>
      </c>
      <c r="I74" s="47">
        <v>0.51100000000000001</v>
      </c>
      <c r="J74" s="47">
        <v>1.45</v>
      </c>
      <c r="K74" s="47">
        <v>14.96</v>
      </c>
      <c r="L74" s="47">
        <v>7.25</v>
      </c>
      <c r="M74" s="47">
        <v>4.87</v>
      </c>
      <c r="N74" s="35">
        <v>31</v>
      </c>
      <c r="O74" s="35" t="s">
        <v>26</v>
      </c>
      <c r="P74" s="35">
        <v>10</v>
      </c>
      <c r="Q74" s="35">
        <v>5</v>
      </c>
      <c r="R74" s="225"/>
      <c r="S74" s="225"/>
      <c r="T74" s="228" t="s">
        <v>661</v>
      </c>
      <c r="U74" s="78">
        <f t="shared" si="39"/>
        <v>2.8</v>
      </c>
      <c r="V74" s="78">
        <f t="shared" si="40"/>
        <v>2.2000000000000002</v>
      </c>
      <c r="W74" s="36">
        <f t="shared" si="41"/>
        <v>0</v>
      </c>
      <c r="X74" s="36">
        <f t="shared" si="42"/>
        <v>0</v>
      </c>
      <c r="Y74" s="40">
        <f>IF(B74="Public", 'synthèse v2'!$F$62/1000, IF(B74="Privé non lucratif",'synthèse v2'!$F$61/1000, IF(B74="Privé", 'synthèse v2'!$F$60/1000, "")))</f>
        <v>36.984345997610518</v>
      </c>
      <c r="Z74" s="40">
        <f t="shared" si="38"/>
        <v>18.492172998805259</v>
      </c>
      <c r="AA74" s="40">
        <f t="shared" si="43"/>
        <v>0</v>
      </c>
      <c r="AB74" s="40">
        <f t="shared" si="44"/>
        <v>0</v>
      </c>
      <c r="AC74" s="34">
        <f t="shared" si="45"/>
        <v>0</v>
      </c>
      <c r="AD74" s="34">
        <f t="shared" si="46"/>
        <v>0</v>
      </c>
      <c r="AE74" s="34">
        <f t="shared" si="47"/>
        <v>0</v>
      </c>
      <c r="AF74" s="36">
        <v>10</v>
      </c>
      <c r="AG74" s="36">
        <v>5</v>
      </c>
      <c r="AH74" s="39">
        <v>0.62</v>
      </c>
      <c r="AI74" s="39">
        <v>0.51</v>
      </c>
      <c r="AJ74" s="36">
        <f t="shared" si="48"/>
        <v>2.8</v>
      </c>
      <c r="AK74" s="36">
        <f t="shared" si="49"/>
        <v>2.2000000000000002</v>
      </c>
      <c r="AL74" s="40">
        <v>75</v>
      </c>
      <c r="AM74" s="40">
        <v>37.5</v>
      </c>
      <c r="AN74" s="34">
        <f t="shared" si="50"/>
        <v>210</v>
      </c>
      <c r="AO74" s="34">
        <f t="shared" si="51"/>
        <v>82.5</v>
      </c>
      <c r="AP74" s="34">
        <f t="shared" si="52"/>
        <v>292.5</v>
      </c>
      <c r="AR74" s="34">
        <f t="shared" si="53"/>
        <v>292.5</v>
      </c>
      <c r="AS74" s="34"/>
      <c r="AT74" s="29">
        <f>+VLOOKUP(C74,dotpop24!$A$10:$K$178,11,0)</f>
        <v>12705.05</v>
      </c>
      <c r="AU74" s="29">
        <f t="shared" si="54"/>
        <v>1016.404</v>
      </c>
      <c r="AV74" s="29">
        <f t="shared" si="57"/>
        <v>508.202</v>
      </c>
      <c r="AW74" s="29">
        <f t="shared" si="55"/>
        <v>0</v>
      </c>
    </row>
    <row r="75" spans="1:49">
      <c r="A75" s="1" t="s">
        <v>22</v>
      </c>
      <c r="B75" s="1" t="s">
        <v>23</v>
      </c>
      <c r="C75" s="97">
        <v>320004310</v>
      </c>
      <c r="D75" s="1" t="s">
        <v>106</v>
      </c>
      <c r="E75" s="1" t="s">
        <v>25</v>
      </c>
      <c r="F75" s="44">
        <v>7228</v>
      </c>
      <c r="G75" s="44">
        <v>7228</v>
      </c>
      <c r="H75" s="44">
        <v>0</v>
      </c>
      <c r="I75" s="45">
        <v>0.32400000000000001</v>
      </c>
      <c r="J75" s="45">
        <v>79.5</v>
      </c>
      <c r="K75" s="45">
        <v>8.83</v>
      </c>
      <c r="L75" s="45">
        <v>2.75</v>
      </c>
      <c r="M75" s="45">
        <v>1.24</v>
      </c>
      <c r="N75" s="35">
        <v>32</v>
      </c>
      <c r="O75" s="35" t="s">
        <v>26</v>
      </c>
      <c r="P75" s="35">
        <v>24</v>
      </c>
      <c r="Q75" s="35">
        <v>0</v>
      </c>
      <c r="R75" s="225">
        <f t="shared" si="56"/>
        <v>0.82511415525114151</v>
      </c>
      <c r="S75" s="225"/>
      <c r="T75" s="225"/>
      <c r="U75" s="78">
        <f t="shared" si="39"/>
        <v>1.7972602739726027</v>
      </c>
      <c r="V75" s="78">
        <f t="shared" si="40"/>
        <v>0</v>
      </c>
      <c r="W75" s="36">
        <f t="shared" si="41"/>
        <v>24</v>
      </c>
      <c r="X75" s="36">
        <f t="shared" si="42"/>
        <v>0</v>
      </c>
      <c r="Y75" s="40">
        <f>IF(B75="Public", 'synthèse v2'!$F$62/1000, IF(B75="Privé non lucratif",'synthèse v2'!$F$61/1000, IF(B75="Privé", 'synthèse v2'!$F$60/1000, "")))</f>
        <v>43.762959354365371</v>
      </c>
      <c r="Z75" s="40">
        <f t="shared" si="38"/>
        <v>21.881479677182686</v>
      </c>
      <c r="AA75" s="40">
        <f t="shared" si="43"/>
        <v>1.7972602739726027</v>
      </c>
      <c r="AB75" s="40">
        <f t="shared" si="44"/>
        <v>0</v>
      </c>
      <c r="AC75" s="34">
        <f t="shared" si="45"/>
        <v>78.653428319078586</v>
      </c>
      <c r="AD75" s="34">
        <f t="shared" si="46"/>
        <v>0</v>
      </c>
      <c r="AE75" s="34">
        <f t="shared" si="47"/>
        <v>78.653428319078586</v>
      </c>
      <c r="AF75" s="36">
        <v>0</v>
      </c>
      <c r="AG75" s="36">
        <v>0</v>
      </c>
      <c r="AH75" s="39">
        <v>0</v>
      </c>
      <c r="AI75" s="39">
        <v>0</v>
      </c>
      <c r="AJ75" s="36">
        <f t="shared" si="48"/>
        <v>0</v>
      </c>
      <c r="AK75" s="36">
        <f t="shared" si="49"/>
        <v>0</v>
      </c>
      <c r="AL75" s="40"/>
      <c r="AM75" s="40"/>
      <c r="AN75" s="34">
        <f t="shared" si="50"/>
        <v>0</v>
      </c>
      <c r="AO75" s="34">
        <f t="shared" si="51"/>
        <v>0</v>
      </c>
      <c r="AP75" s="34">
        <f t="shared" si="52"/>
        <v>0</v>
      </c>
      <c r="AR75" s="34">
        <f t="shared" si="53"/>
        <v>78.653428319078586</v>
      </c>
      <c r="AS75" s="34"/>
      <c r="AT75" s="29">
        <f>+VLOOKUP(C75,dotpop24!$A$10:$K$178,11,0)</f>
        <v>892023.52</v>
      </c>
      <c r="AU75" s="29">
        <f t="shared" si="54"/>
        <v>37167.646666666667</v>
      </c>
      <c r="AV75" s="29">
        <f t="shared" si="57"/>
        <v>18583.823333333334</v>
      </c>
      <c r="AW75" s="29">
        <f t="shared" si="55"/>
        <v>66799.934831050225</v>
      </c>
    </row>
    <row r="76" spans="1:49">
      <c r="A76" s="1" t="s">
        <v>30</v>
      </c>
      <c r="B76" s="1" t="s">
        <v>30</v>
      </c>
      <c r="C76" s="97">
        <v>320004930</v>
      </c>
      <c r="D76" s="1" t="s">
        <v>107</v>
      </c>
      <c r="E76" s="1" t="s">
        <v>25</v>
      </c>
      <c r="F76" s="44">
        <v>50529</v>
      </c>
      <c r="G76" s="44">
        <v>43738</v>
      </c>
      <c r="H76" s="44">
        <v>6791</v>
      </c>
      <c r="I76" s="45">
        <v>0.61099999999999999</v>
      </c>
      <c r="J76" s="45">
        <v>61.57</v>
      </c>
      <c r="K76" s="45">
        <v>10.98</v>
      </c>
      <c r="L76" s="45">
        <v>4.0199999999999996</v>
      </c>
      <c r="M76" s="45">
        <v>2.2000000000000002</v>
      </c>
      <c r="N76" s="35">
        <v>32</v>
      </c>
      <c r="O76" s="35" t="s">
        <v>26</v>
      </c>
      <c r="P76" s="35">
        <v>135</v>
      </c>
      <c r="Q76" s="35">
        <v>85</v>
      </c>
      <c r="R76" s="225">
        <f t="shared" si="56"/>
        <v>0.88763064434297312</v>
      </c>
      <c r="S76" s="225">
        <f>+H76/(Q76*365)</f>
        <v>0.21888799355358582</v>
      </c>
      <c r="T76" s="225"/>
      <c r="U76" s="78">
        <f t="shared" si="39"/>
        <v>1.6698630136986301</v>
      </c>
      <c r="V76" s="78">
        <f t="shared" si="40"/>
        <v>62.144520547945206</v>
      </c>
      <c r="W76" s="36">
        <f t="shared" si="41"/>
        <v>135</v>
      </c>
      <c r="X76" s="36">
        <f t="shared" si="42"/>
        <v>85</v>
      </c>
      <c r="Y76" s="40">
        <f>IF(B76="Public", 'synthèse v2'!$F$62/1000, IF(B76="Privé non lucratif",'synthèse v2'!$F$61/1000, IF(B76="Privé", 'synthèse v2'!$F$60/1000, "")))</f>
        <v>26.522545062955601</v>
      </c>
      <c r="Z76" s="40">
        <f t="shared" si="38"/>
        <v>13.2612725314778</v>
      </c>
      <c r="AA76" s="40">
        <f t="shared" si="43"/>
        <v>1.6698630136986301</v>
      </c>
      <c r="AB76" s="40">
        <f t="shared" si="44"/>
        <v>62.144520547945206</v>
      </c>
      <c r="AC76" s="34">
        <f t="shared" si="45"/>
        <v>44.289017029784766</v>
      </c>
      <c r="AD76" s="34">
        <f t="shared" si="46"/>
        <v>824.1154233243235</v>
      </c>
      <c r="AE76" s="34">
        <f t="shared" si="47"/>
        <v>868.40444035410826</v>
      </c>
      <c r="AF76" s="36">
        <v>0</v>
      </c>
      <c r="AG76" s="36">
        <v>0</v>
      </c>
      <c r="AH76" s="39">
        <v>0</v>
      </c>
      <c r="AI76" s="39">
        <v>0</v>
      </c>
      <c r="AJ76" s="36">
        <f t="shared" si="48"/>
        <v>0</v>
      </c>
      <c r="AK76" s="36">
        <f t="shared" si="49"/>
        <v>0</v>
      </c>
      <c r="AL76" s="40"/>
      <c r="AM76" s="40"/>
      <c r="AN76" s="34">
        <f t="shared" si="50"/>
        <v>0</v>
      </c>
      <c r="AO76" s="34">
        <f t="shared" si="51"/>
        <v>0</v>
      </c>
      <c r="AP76" s="34">
        <f t="shared" si="52"/>
        <v>0</v>
      </c>
      <c r="AR76" s="34">
        <f t="shared" si="53"/>
        <v>868.40444035410826</v>
      </c>
      <c r="AS76" s="34"/>
      <c r="AT76" s="29">
        <f>+VLOOKUP(C76,dotpop24!$A$10:$K$178,11,0)</f>
        <v>5664316</v>
      </c>
      <c r="AU76" s="29">
        <f t="shared" si="54"/>
        <v>31911.63943661972</v>
      </c>
      <c r="AV76" s="29">
        <f t="shared" si="57"/>
        <v>15955.81971830986</v>
      </c>
      <c r="AW76" s="29">
        <f t="shared" si="55"/>
        <v>1044854.8327455142</v>
      </c>
    </row>
    <row r="77" spans="1:49">
      <c r="A77" s="1" t="s">
        <v>22</v>
      </c>
      <c r="B77" s="1" t="s">
        <v>23</v>
      </c>
      <c r="C77" s="97">
        <v>320780117</v>
      </c>
      <c r="D77" s="1" t="s">
        <v>108</v>
      </c>
      <c r="E77" s="1" t="s">
        <v>25</v>
      </c>
      <c r="F77" s="44">
        <v>12323</v>
      </c>
      <c r="G77" s="44">
        <v>9801</v>
      </c>
      <c r="H77" s="44">
        <v>2522</v>
      </c>
      <c r="I77" s="45">
        <v>0.45400000000000001</v>
      </c>
      <c r="J77" s="45">
        <v>73.37</v>
      </c>
      <c r="K77" s="45">
        <v>9.15</v>
      </c>
      <c r="L77" s="45">
        <v>3.86</v>
      </c>
      <c r="M77" s="45">
        <v>1.02</v>
      </c>
      <c r="N77" s="35">
        <v>32</v>
      </c>
      <c r="O77" s="35" t="s">
        <v>26</v>
      </c>
      <c r="P77" s="35">
        <v>34</v>
      </c>
      <c r="Q77" s="35">
        <v>9</v>
      </c>
      <c r="R77" s="225">
        <f t="shared" si="56"/>
        <v>0.78976631748589843</v>
      </c>
      <c r="S77" s="225">
        <f>+H77/(Q77*365)</f>
        <v>0.76773211567732114</v>
      </c>
      <c r="T77" s="225"/>
      <c r="U77" s="78">
        <f t="shared" si="39"/>
        <v>3.7479452054794522</v>
      </c>
      <c r="V77" s="78">
        <f t="shared" si="40"/>
        <v>1.6404109589041096</v>
      </c>
      <c r="W77" s="36">
        <f t="shared" si="41"/>
        <v>34</v>
      </c>
      <c r="X77" s="36">
        <f t="shared" si="42"/>
        <v>9</v>
      </c>
      <c r="Y77" s="40">
        <f>IF(B77="Public", 'synthèse v2'!$F$62/1000, IF(B77="Privé non lucratif",'synthèse v2'!$F$61/1000, IF(B77="Privé", 'synthèse v2'!$F$60/1000, "")))</f>
        <v>43.762959354365371</v>
      </c>
      <c r="Z77" s="40">
        <f t="shared" si="38"/>
        <v>21.881479677182686</v>
      </c>
      <c r="AA77" s="40">
        <f t="shared" si="43"/>
        <v>3.7479452054794522</v>
      </c>
      <c r="AB77" s="40">
        <f t="shared" si="44"/>
        <v>1.6404109589041096</v>
      </c>
      <c r="AC77" s="34">
        <f t="shared" si="45"/>
        <v>164.02117368978583</v>
      </c>
      <c r="AD77" s="34">
        <f t="shared" si="46"/>
        <v>35.894619059488036</v>
      </c>
      <c r="AE77" s="34">
        <f t="shared" si="47"/>
        <v>199.91579274927386</v>
      </c>
      <c r="AF77" s="36">
        <v>0</v>
      </c>
      <c r="AG77" s="36">
        <v>0</v>
      </c>
      <c r="AH77" s="39">
        <v>0</v>
      </c>
      <c r="AI77" s="39">
        <v>0</v>
      </c>
      <c r="AJ77" s="36">
        <f t="shared" si="48"/>
        <v>0</v>
      </c>
      <c r="AK77" s="36">
        <f t="shared" si="49"/>
        <v>0</v>
      </c>
      <c r="AL77" s="40"/>
      <c r="AM77" s="40"/>
      <c r="AN77" s="34">
        <f t="shared" si="50"/>
        <v>0</v>
      </c>
      <c r="AO77" s="34">
        <f t="shared" si="51"/>
        <v>0</v>
      </c>
      <c r="AP77" s="34">
        <f t="shared" si="52"/>
        <v>0</v>
      </c>
      <c r="AR77" s="34">
        <f t="shared" si="53"/>
        <v>199.91579274927386</v>
      </c>
      <c r="AS77" s="34"/>
      <c r="AT77" s="29">
        <f>+VLOOKUP(C77,dotpop24!$A$10:$K$178,11,0)</f>
        <v>3372077.23</v>
      </c>
      <c r="AU77" s="29">
        <f t="shared" si="54"/>
        <v>87586.421558441565</v>
      </c>
      <c r="AV77" s="29">
        <f t="shared" si="57"/>
        <v>43793.210779220783</v>
      </c>
      <c r="AW77" s="29">
        <f t="shared" si="55"/>
        <v>400107.97163289454</v>
      </c>
    </row>
    <row r="78" spans="1:49">
      <c r="A78" s="1" t="s">
        <v>22</v>
      </c>
      <c r="B78" s="1" t="s">
        <v>23</v>
      </c>
      <c r="C78" s="97">
        <v>320780133</v>
      </c>
      <c r="D78" s="1" t="s">
        <v>109</v>
      </c>
      <c r="E78" s="1" t="s">
        <v>25</v>
      </c>
      <c r="F78" s="44">
        <v>6237</v>
      </c>
      <c r="G78" s="44">
        <v>6237</v>
      </c>
      <c r="H78" s="44">
        <v>0</v>
      </c>
      <c r="I78" s="45">
        <v>0.308</v>
      </c>
      <c r="J78" s="45">
        <v>82.69</v>
      </c>
      <c r="K78" s="45">
        <v>10.3</v>
      </c>
      <c r="L78" s="45">
        <v>3.45</v>
      </c>
      <c r="M78" s="45">
        <v>0.77</v>
      </c>
      <c r="N78" s="35">
        <v>32</v>
      </c>
      <c r="O78" s="35" t="s">
        <v>26</v>
      </c>
      <c r="P78" s="35">
        <v>20</v>
      </c>
      <c r="Q78" s="35">
        <v>0</v>
      </c>
      <c r="R78" s="225">
        <f t="shared" si="56"/>
        <v>0.85438356164383567</v>
      </c>
      <c r="S78" s="225"/>
      <c r="T78" s="225"/>
      <c r="U78" s="78">
        <f t="shared" si="39"/>
        <v>0.9123287671232877</v>
      </c>
      <c r="V78" s="78">
        <f t="shared" si="40"/>
        <v>0</v>
      </c>
      <c r="W78" s="36">
        <f t="shared" si="41"/>
        <v>20</v>
      </c>
      <c r="X78" s="36">
        <f t="shared" si="42"/>
        <v>0</v>
      </c>
      <c r="Y78" s="40">
        <f>IF(B78="Public", 'synthèse v2'!$F$62/1000, IF(B78="Privé non lucratif",'synthèse v2'!$F$61/1000, IF(B78="Privé", 'synthèse v2'!$F$60/1000, "")))</f>
        <v>43.762959354365371</v>
      </c>
      <c r="Z78" s="40">
        <f t="shared" si="38"/>
        <v>21.881479677182686</v>
      </c>
      <c r="AA78" s="40">
        <f t="shared" si="43"/>
        <v>0.9123287671232877</v>
      </c>
      <c r="AB78" s="40">
        <f t="shared" si="44"/>
        <v>0</v>
      </c>
      <c r="AC78" s="34">
        <f t="shared" si="45"/>
        <v>39.926206753434712</v>
      </c>
      <c r="AD78" s="34">
        <f t="shared" si="46"/>
        <v>0</v>
      </c>
      <c r="AE78" s="34">
        <f t="shared" si="47"/>
        <v>39.926206753434712</v>
      </c>
      <c r="AF78" s="36">
        <v>0</v>
      </c>
      <c r="AG78" s="36">
        <v>0</v>
      </c>
      <c r="AH78" s="39">
        <v>0</v>
      </c>
      <c r="AI78" s="39">
        <v>0</v>
      </c>
      <c r="AJ78" s="36">
        <f t="shared" si="48"/>
        <v>0</v>
      </c>
      <c r="AK78" s="36">
        <f t="shared" si="49"/>
        <v>0</v>
      </c>
      <c r="AL78" s="40"/>
      <c r="AM78" s="40"/>
      <c r="AN78" s="34">
        <f t="shared" si="50"/>
        <v>0</v>
      </c>
      <c r="AO78" s="34">
        <f t="shared" si="51"/>
        <v>0</v>
      </c>
      <c r="AP78" s="34">
        <f t="shared" si="52"/>
        <v>0</v>
      </c>
      <c r="AR78" s="34">
        <f t="shared" si="53"/>
        <v>39.926206753434712</v>
      </c>
      <c r="AS78" s="34"/>
      <c r="AT78" s="29">
        <f>+VLOOKUP(C78,dotpop24!$A$10:$K$178,11,0)</f>
        <v>661276.57999999996</v>
      </c>
      <c r="AU78" s="29">
        <f t="shared" si="54"/>
        <v>33063.828999999998</v>
      </c>
      <c r="AV78" s="29">
        <f t="shared" si="57"/>
        <v>16531.914499999999</v>
      </c>
      <c r="AW78" s="29">
        <f t="shared" si="55"/>
        <v>30165.082347945205</v>
      </c>
    </row>
    <row r="79" spans="1:49">
      <c r="A79" s="1" t="s">
        <v>22</v>
      </c>
      <c r="B79" s="1" t="s">
        <v>23</v>
      </c>
      <c r="C79" s="97">
        <v>320780158</v>
      </c>
      <c r="D79" s="1" t="s">
        <v>110</v>
      </c>
      <c r="E79" s="1" t="s">
        <v>25</v>
      </c>
      <c r="F79" s="44">
        <v>5270</v>
      </c>
      <c r="G79" s="44">
        <v>5270</v>
      </c>
      <c r="H79" s="44">
        <v>0</v>
      </c>
      <c r="I79" s="45">
        <v>0.315</v>
      </c>
      <c r="J79" s="45">
        <v>80.81</v>
      </c>
      <c r="K79" s="45">
        <v>11.53</v>
      </c>
      <c r="L79" s="45">
        <v>4.46</v>
      </c>
      <c r="M79" s="45">
        <v>0.62</v>
      </c>
      <c r="N79" s="35">
        <v>32</v>
      </c>
      <c r="O79" s="35" t="s">
        <v>26</v>
      </c>
      <c r="P79" s="35">
        <v>15</v>
      </c>
      <c r="Q79" s="35">
        <v>0</v>
      </c>
      <c r="R79" s="225">
        <f t="shared" si="56"/>
        <v>0.96255707762557075</v>
      </c>
      <c r="S79" s="225"/>
      <c r="T79" s="225"/>
      <c r="U79" s="78">
        <f t="shared" si="39"/>
        <v>0</v>
      </c>
      <c r="V79" s="78">
        <f t="shared" si="40"/>
        <v>0</v>
      </c>
      <c r="W79" s="36">
        <f t="shared" si="41"/>
        <v>15</v>
      </c>
      <c r="X79" s="36">
        <f t="shared" si="42"/>
        <v>0</v>
      </c>
      <c r="Y79" s="40">
        <f>IF(B79="Public", 'synthèse v2'!$F$62/1000, IF(B79="Privé non lucratif",'synthèse v2'!$F$61/1000, IF(B79="Privé", 'synthèse v2'!$F$60/1000, "")))</f>
        <v>43.762959354365371</v>
      </c>
      <c r="Z79" s="40">
        <f t="shared" si="38"/>
        <v>21.881479677182686</v>
      </c>
      <c r="AA79" s="40">
        <f t="shared" si="43"/>
        <v>0</v>
      </c>
      <c r="AB79" s="40">
        <f t="shared" si="44"/>
        <v>0</v>
      </c>
      <c r="AC79" s="34">
        <f t="shared" si="45"/>
        <v>0</v>
      </c>
      <c r="AD79" s="34">
        <f t="shared" si="46"/>
        <v>0</v>
      </c>
      <c r="AE79" s="34">
        <f t="shared" si="47"/>
        <v>0</v>
      </c>
      <c r="AF79" s="36">
        <v>0</v>
      </c>
      <c r="AG79" s="36">
        <v>0</v>
      </c>
      <c r="AH79" s="39">
        <v>0</v>
      </c>
      <c r="AI79" s="39">
        <v>0</v>
      </c>
      <c r="AJ79" s="36">
        <f t="shared" si="48"/>
        <v>0</v>
      </c>
      <c r="AK79" s="36">
        <f t="shared" si="49"/>
        <v>0</v>
      </c>
      <c r="AL79" s="40"/>
      <c r="AM79" s="40"/>
      <c r="AN79" s="34">
        <f t="shared" si="50"/>
        <v>0</v>
      </c>
      <c r="AO79" s="34">
        <f t="shared" si="51"/>
        <v>0</v>
      </c>
      <c r="AP79" s="34">
        <f t="shared" si="52"/>
        <v>0</v>
      </c>
      <c r="AR79" s="34">
        <f t="shared" si="53"/>
        <v>0</v>
      </c>
      <c r="AS79" s="34"/>
      <c r="AT79" s="29">
        <f>+VLOOKUP(C79,dotpop24!$A$10:$K$178,11,0)</f>
        <v>586041.89</v>
      </c>
      <c r="AU79" s="29">
        <f t="shared" si="54"/>
        <v>39069.459333333332</v>
      </c>
      <c r="AV79" s="29">
        <f t="shared" si="57"/>
        <v>19534.729666666666</v>
      </c>
      <c r="AW79" s="29">
        <f t="shared" si="55"/>
        <v>0</v>
      </c>
    </row>
    <row r="80" spans="1:49">
      <c r="A80" s="1" t="s">
        <v>22</v>
      </c>
      <c r="B80" s="1" t="s">
        <v>23</v>
      </c>
      <c r="C80" s="97">
        <v>320780174</v>
      </c>
      <c r="D80" s="1" t="s">
        <v>111</v>
      </c>
      <c r="E80" s="1" t="s">
        <v>25</v>
      </c>
      <c r="F80" s="44">
        <v>8817</v>
      </c>
      <c r="G80" s="44">
        <v>8817</v>
      </c>
      <c r="H80" s="44">
        <v>0</v>
      </c>
      <c r="I80" s="45">
        <v>0.27</v>
      </c>
      <c r="J80" s="45">
        <v>83.28</v>
      </c>
      <c r="K80" s="45">
        <v>12.54</v>
      </c>
      <c r="L80" s="45">
        <v>4.5</v>
      </c>
      <c r="M80" s="45">
        <v>0.75</v>
      </c>
      <c r="N80" s="35">
        <v>32</v>
      </c>
      <c r="O80" s="35" t="s">
        <v>26</v>
      </c>
      <c r="P80" s="35">
        <v>30</v>
      </c>
      <c r="Q80" s="35">
        <v>0</v>
      </c>
      <c r="R80" s="225">
        <f t="shared" si="56"/>
        <v>0.80520547945205478</v>
      </c>
      <c r="S80" s="225"/>
      <c r="T80" s="225"/>
      <c r="U80" s="78">
        <f t="shared" si="39"/>
        <v>2.8438356164383563</v>
      </c>
      <c r="V80" s="78">
        <f t="shared" si="40"/>
        <v>0</v>
      </c>
      <c r="W80" s="36">
        <f t="shared" si="41"/>
        <v>30</v>
      </c>
      <c r="X80" s="36">
        <f t="shared" si="42"/>
        <v>0</v>
      </c>
      <c r="Y80" s="40">
        <f>IF(B80="Public", 'synthèse v2'!$F$62/1000, IF(B80="Privé non lucratif",'synthèse v2'!$F$61/1000, IF(B80="Privé", 'synthèse v2'!$F$60/1000, "")))</f>
        <v>43.762959354365371</v>
      </c>
      <c r="Z80" s="40">
        <f t="shared" si="38"/>
        <v>21.881479677182686</v>
      </c>
      <c r="AA80" s="40">
        <f t="shared" si="43"/>
        <v>2.8438356164383563</v>
      </c>
      <c r="AB80" s="40">
        <f t="shared" si="44"/>
        <v>0</v>
      </c>
      <c r="AC80" s="34">
        <f t="shared" si="45"/>
        <v>124.45466249268837</v>
      </c>
      <c r="AD80" s="34">
        <f t="shared" si="46"/>
        <v>0</v>
      </c>
      <c r="AE80" s="34">
        <f t="shared" si="47"/>
        <v>124.45466249268837</v>
      </c>
      <c r="AF80" s="36">
        <v>0</v>
      </c>
      <c r="AG80" s="36">
        <v>0</v>
      </c>
      <c r="AH80" s="39">
        <v>0</v>
      </c>
      <c r="AI80" s="39">
        <v>0</v>
      </c>
      <c r="AJ80" s="36">
        <f t="shared" si="48"/>
        <v>0</v>
      </c>
      <c r="AK80" s="36">
        <f t="shared" si="49"/>
        <v>0</v>
      </c>
      <c r="AL80" s="40"/>
      <c r="AM80" s="40"/>
      <c r="AN80" s="34">
        <f t="shared" si="50"/>
        <v>0</v>
      </c>
      <c r="AO80" s="34">
        <f t="shared" si="51"/>
        <v>0</v>
      </c>
      <c r="AP80" s="34">
        <f t="shared" si="52"/>
        <v>0</v>
      </c>
      <c r="AR80" s="34">
        <f t="shared" si="53"/>
        <v>124.45466249268837</v>
      </c>
      <c r="AS80" s="34"/>
      <c r="AT80" s="29">
        <f>+VLOOKUP(C80,dotpop24!$A$10:$K$178,11,0)</f>
        <v>919305.8</v>
      </c>
      <c r="AU80" s="29">
        <f t="shared" si="54"/>
        <v>30643.526666666668</v>
      </c>
      <c r="AV80" s="29">
        <f t="shared" si="57"/>
        <v>15321.763333333334</v>
      </c>
      <c r="AW80" s="29">
        <f t="shared" si="55"/>
        <v>87145.15254794521</v>
      </c>
    </row>
    <row r="81" spans="1:49">
      <c r="A81" s="1" t="s">
        <v>22</v>
      </c>
      <c r="B81" s="1" t="s">
        <v>23</v>
      </c>
      <c r="C81" s="97">
        <v>320780182</v>
      </c>
      <c r="D81" s="1" t="s">
        <v>112</v>
      </c>
      <c r="E81" s="1" t="s">
        <v>25</v>
      </c>
      <c r="F81" s="44">
        <v>5173</v>
      </c>
      <c r="G81" s="44">
        <v>5173</v>
      </c>
      <c r="H81" s="44">
        <v>0</v>
      </c>
      <c r="I81" s="45">
        <v>0.35199999999999998</v>
      </c>
      <c r="J81" s="45">
        <v>82.5</v>
      </c>
      <c r="K81" s="45">
        <v>12.22</v>
      </c>
      <c r="L81" s="45">
        <v>4.83</v>
      </c>
      <c r="M81" s="45">
        <v>0.77</v>
      </c>
      <c r="N81" s="35">
        <v>32</v>
      </c>
      <c r="O81" s="35" t="s">
        <v>26</v>
      </c>
      <c r="P81" s="35">
        <v>23</v>
      </c>
      <c r="Q81" s="35">
        <v>0</v>
      </c>
      <c r="R81" s="225">
        <f t="shared" si="56"/>
        <v>0.6162001191185229</v>
      </c>
      <c r="S81" s="225"/>
      <c r="T81" s="225"/>
      <c r="U81" s="78">
        <f t="shared" si="39"/>
        <v>6.5273972602739727</v>
      </c>
      <c r="V81" s="78">
        <f t="shared" si="40"/>
        <v>0</v>
      </c>
      <c r="W81" s="36">
        <f t="shared" si="41"/>
        <v>23</v>
      </c>
      <c r="X81" s="36">
        <f t="shared" si="42"/>
        <v>0</v>
      </c>
      <c r="Y81" s="40">
        <f>IF(B81="Public", 'synthèse v2'!$F$62/1000, IF(B81="Privé non lucratif",'synthèse v2'!$F$61/1000, IF(B81="Privé", 'synthèse v2'!$F$60/1000, "")))</f>
        <v>43.762959354365371</v>
      </c>
      <c r="Z81" s="40">
        <f t="shared" si="38"/>
        <v>21.881479677182686</v>
      </c>
      <c r="AA81" s="40">
        <f t="shared" si="43"/>
        <v>6.5273972602739727</v>
      </c>
      <c r="AB81" s="40">
        <f t="shared" si="44"/>
        <v>0</v>
      </c>
      <c r="AC81" s="34">
        <f t="shared" si="45"/>
        <v>285.65822099116576</v>
      </c>
      <c r="AD81" s="34">
        <f t="shared" si="46"/>
        <v>0</v>
      </c>
      <c r="AE81" s="34">
        <f t="shared" si="47"/>
        <v>285.65822099116576</v>
      </c>
      <c r="AF81" s="36">
        <v>0</v>
      </c>
      <c r="AG81" s="36">
        <v>0</v>
      </c>
      <c r="AH81" s="39">
        <v>0</v>
      </c>
      <c r="AI81" s="39">
        <v>0</v>
      </c>
      <c r="AJ81" s="36">
        <f t="shared" si="48"/>
        <v>0</v>
      </c>
      <c r="AK81" s="36">
        <f t="shared" si="49"/>
        <v>0</v>
      </c>
      <c r="AL81" s="40"/>
      <c r="AM81" s="40"/>
      <c r="AN81" s="34">
        <f t="shared" si="50"/>
        <v>0</v>
      </c>
      <c r="AO81" s="34">
        <f t="shared" si="51"/>
        <v>0</v>
      </c>
      <c r="AP81" s="34">
        <f t="shared" si="52"/>
        <v>0</v>
      </c>
      <c r="AR81" s="34">
        <f t="shared" si="53"/>
        <v>285.65822099116576</v>
      </c>
      <c r="AS81" s="34"/>
      <c r="AT81" s="29">
        <f>+VLOOKUP(C81,dotpop24!$A$10:$K$178,11,0)</f>
        <v>616208.91</v>
      </c>
      <c r="AU81" s="29">
        <f t="shared" si="54"/>
        <v>26791.691739130438</v>
      </c>
      <c r="AV81" s="29">
        <f t="shared" si="57"/>
        <v>13395.845869565219</v>
      </c>
      <c r="AW81" s="29">
        <f t="shared" si="55"/>
        <v>174880.01525610485</v>
      </c>
    </row>
    <row r="82" spans="1:49">
      <c r="A82" s="1" t="s">
        <v>22</v>
      </c>
      <c r="B82" s="1" t="s">
        <v>23</v>
      </c>
      <c r="C82" s="97">
        <v>320780190</v>
      </c>
      <c r="D82" s="1" t="s">
        <v>113</v>
      </c>
      <c r="E82" s="1" t="s">
        <v>25</v>
      </c>
      <c r="F82" s="44">
        <v>6781</v>
      </c>
      <c r="G82" s="44">
        <v>6781</v>
      </c>
      <c r="H82" s="44">
        <v>0</v>
      </c>
      <c r="I82" s="45">
        <v>0.41699999999999998</v>
      </c>
      <c r="J82" s="45">
        <v>84.96</v>
      </c>
      <c r="K82" s="45">
        <v>12.36</v>
      </c>
      <c r="L82" s="45">
        <v>5.4</v>
      </c>
      <c r="M82" s="45">
        <v>1.08</v>
      </c>
      <c r="N82" s="35">
        <v>32</v>
      </c>
      <c r="O82" s="35" t="s">
        <v>26</v>
      </c>
      <c r="P82" s="35">
        <v>20</v>
      </c>
      <c r="Q82" s="35">
        <v>0</v>
      </c>
      <c r="R82" s="225">
        <f t="shared" si="56"/>
        <v>0.92890410958904113</v>
      </c>
      <c r="S82" s="225"/>
      <c r="T82" s="225"/>
      <c r="U82" s="78">
        <f t="shared" si="39"/>
        <v>0</v>
      </c>
      <c r="V82" s="78">
        <f t="shared" si="40"/>
        <v>0</v>
      </c>
      <c r="W82" s="36">
        <f t="shared" si="41"/>
        <v>20</v>
      </c>
      <c r="X82" s="36">
        <f t="shared" si="42"/>
        <v>0</v>
      </c>
      <c r="Y82" s="40">
        <f>IF(B82="Public", 'synthèse v2'!$F$62/1000, IF(B82="Privé non lucratif",'synthèse v2'!$F$61/1000, IF(B82="Privé", 'synthèse v2'!$F$60/1000, "")))</f>
        <v>43.762959354365371</v>
      </c>
      <c r="Z82" s="40">
        <f t="shared" si="38"/>
        <v>21.881479677182686</v>
      </c>
      <c r="AA82" s="40">
        <f t="shared" si="43"/>
        <v>0</v>
      </c>
      <c r="AB82" s="40">
        <f t="shared" si="44"/>
        <v>0</v>
      </c>
      <c r="AC82" s="34">
        <f t="shared" si="45"/>
        <v>0</v>
      </c>
      <c r="AD82" s="34">
        <f t="shared" si="46"/>
        <v>0</v>
      </c>
      <c r="AE82" s="34">
        <f t="shared" si="47"/>
        <v>0</v>
      </c>
      <c r="AF82" s="36">
        <v>0</v>
      </c>
      <c r="AG82" s="36">
        <v>0</v>
      </c>
      <c r="AH82" s="39">
        <v>0</v>
      </c>
      <c r="AI82" s="39">
        <v>0</v>
      </c>
      <c r="AJ82" s="36">
        <f t="shared" si="48"/>
        <v>0</v>
      </c>
      <c r="AK82" s="36">
        <f t="shared" si="49"/>
        <v>0</v>
      </c>
      <c r="AL82" s="40"/>
      <c r="AM82" s="40"/>
      <c r="AN82" s="34">
        <f t="shared" si="50"/>
        <v>0</v>
      </c>
      <c r="AO82" s="34">
        <f t="shared" si="51"/>
        <v>0</v>
      </c>
      <c r="AP82" s="34">
        <f t="shared" si="52"/>
        <v>0</v>
      </c>
      <c r="AR82" s="34">
        <f t="shared" si="53"/>
        <v>0</v>
      </c>
      <c r="AS82" s="34"/>
      <c r="AT82" s="29">
        <f>+VLOOKUP(C82,dotpop24!$A$10:$K$178,11,0)</f>
        <v>885982.66</v>
      </c>
      <c r="AU82" s="29">
        <f t="shared" si="54"/>
        <v>44299.133000000002</v>
      </c>
      <c r="AV82" s="29">
        <f t="shared" si="57"/>
        <v>22149.566500000001</v>
      </c>
      <c r="AW82" s="29">
        <f t="shared" si="55"/>
        <v>0</v>
      </c>
    </row>
    <row r="83" spans="1:49">
      <c r="A83" s="1" t="s">
        <v>22</v>
      </c>
      <c r="B83" s="1" t="s">
        <v>23</v>
      </c>
      <c r="C83" s="97">
        <v>320780208</v>
      </c>
      <c r="D83" s="1" t="s">
        <v>114</v>
      </c>
      <c r="E83" s="1" t="s">
        <v>25</v>
      </c>
      <c r="F83" s="44">
        <v>7669</v>
      </c>
      <c r="G83" s="44">
        <v>7669</v>
      </c>
      <c r="H83" s="44">
        <v>0</v>
      </c>
      <c r="I83" s="45">
        <v>0.376</v>
      </c>
      <c r="J83" s="45">
        <v>81.61</v>
      </c>
      <c r="K83" s="45">
        <v>10.49</v>
      </c>
      <c r="L83" s="45">
        <v>3.66</v>
      </c>
      <c r="M83" s="45">
        <v>1.48</v>
      </c>
      <c r="N83" s="35">
        <v>32</v>
      </c>
      <c r="O83" s="35" t="s">
        <v>26</v>
      </c>
      <c r="P83" s="35">
        <v>25</v>
      </c>
      <c r="Q83" s="35">
        <v>0</v>
      </c>
      <c r="R83" s="225">
        <f t="shared" si="56"/>
        <v>0.84043835616438356</v>
      </c>
      <c r="S83" s="225"/>
      <c r="T83" s="225"/>
      <c r="U83" s="78">
        <f t="shared" si="39"/>
        <v>1.489041095890411</v>
      </c>
      <c r="V83" s="78">
        <f t="shared" si="40"/>
        <v>0</v>
      </c>
      <c r="W83" s="36">
        <f t="shared" si="41"/>
        <v>25</v>
      </c>
      <c r="X83" s="36">
        <f t="shared" si="42"/>
        <v>0</v>
      </c>
      <c r="Y83" s="40">
        <f>IF(B83="Public", 'synthèse v2'!$F$62/1000, IF(B83="Privé non lucratif",'synthèse v2'!$F$61/1000, IF(B83="Privé", 'synthèse v2'!$F$60/1000, "")))</f>
        <v>43.762959354365371</v>
      </c>
      <c r="Z83" s="40">
        <f t="shared" si="38"/>
        <v>21.881479677182686</v>
      </c>
      <c r="AA83" s="40">
        <f t="shared" si="43"/>
        <v>1.489041095890411</v>
      </c>
      <c r="AB83" s="40">
        <f t="shared" si="44"/>
        <v>0</v>
      </c>
      <c r="AC83" s="34">
        <f t="shared" si="45"/>
        <v>65.164844956431722</v>
      </c>
      <c r="AD83" s="34">
        <f t="shared" si="46"/>
        <v>0</v>
      </c>
      <c r="AE83" s="34">
        <f t="shared" si="47"/>
        <v>65.164844956431722</v>
      </c>
      <c r="AF83" s="36">
        <v>0</v>
      </c>
      <c r="AG83" s="36">
        <v>0</v>
      </c>
      <c r="AH83" s="39">
        <v>0</v>
      </c>
      <c r="AI83" s="39">
        <v>0</v>
      </c>
      <c r="AJ83" s="36">
        <f t="shared" si="48"/>
        <v>0</v>
      </c>
      <c r="AK83" s="36">
        <f t="shared" si="49"/>
        <v>0</v>
      </c>
      <c r="AL83" s="40"/>
      <c r="AM83" s="40"/>
      <c r="AN83" s="34">
        <f t="shared" si="50"/>
        <v>0</v>
      </c>
      <c r="AO83" s="34">
        <f t="shared" si="51"/>
        <v>0</v>
      </c>
      <c r="AP83" s="34">
        <f t="shared" si="52"/>
        <v>0</v>
      </c>
      <c r="AR83" s="34">
        <f t="shared" si="53"/>
        <v>65.164844956431722</v>
      </c>
      <c r="AS83" s="34"/>
      <c r="AT83" s="29">
        <f>+VLOOKUP(C83,dotpop24!$A$10:$K$178,11,0)</f>
        <v>837769.77</v>
      </c>
      <c r="AU83" s="29">
        <f t="shared" si="54"/>
        <v>33510.790800000002</v>
      </c>
      <c r="AV83" s="29">
        <f t="shared" si="57"/>
        <v>16755.395400000001</v>
      </c>
      <c r="AW83" s="29">
        <f t="shared" si="55"/>
        <v>49898.944656986307</v>
      </c>
    </row>
    <row r="84" spans="1:49">
      <c r="A84" s="1" t="s">
        <v>22</v>
      </c>
      <c r="B84" s="1" t="s">
        <v>23</v>
      </c>
      <c r="C84" s="97">
        <v>320780216</v>
      </c>
      <c r="D84" s="1" t="s">
        <v>115</v>
      </c>
      <c r="E84" s="1" t="s">
        <v>25</v>
      </c>
      <c r="F84" s="44">
        <v>6010</v>
      </c>
      <c r="G84" s="44">
        <v>6010</v>
      </c>
      <c r="H84" s="44">
        <v>0</v>
      </c>
      <c r="I84" s="45">
        <v>0.35799999999999998</v>
      </c>
      <c r="J84" s="45">
        <v>83.34</v>
      </c>
      <c r="K84" s="45">
        <v>12.14</v>
      </c>
      <c r="L84" s="45">
        <v>4.03</v>
      </c>
      <c r="M84" s="45">
        <v>0.49</v>
      </c>
      <c r="N84" s="35">
        <v>32</v>
      </c>
      <c r="O84" s="35" t="s">
        <v>26</v>
      </c>
      <c r="P84" s="35">
        <v>19</v>
      </c>
      <c r="Q84" s="35">
        <v>0</v>
      </c>
      <c r="R84" s="225">
        <f t="shared" si="56"/>
        <v>0.86661860129776491</v>
      </c>
      <c r="S84" s="225"/>
      <c r="T84" s="225"/>
      <c r="U84" s="78">
        <f t="shared" si="39"/>
        <v>0.63424657534246576</v>
      </c>
      <c r="V84" s="78">
        <f t="shared" si="40"/>
        <v>0</v>
      </c>
      <c r="W84" s="36">
        <f t="shared" si="41"/>
        <v>19</v>
      </c>
      <c r="X84" s="36">
        <f t="shared" si="42"/>
        <v>0</v>
      </c>
      <c r="Y84" s="40">
        <f>IF(B84="Public", 'synthèse v2'!$F$62/1000, IF(B84="Privé non lucratif",'synthèse v2'!$F$61/1000, IF(B84="Privé", 'synthèse v2'!$F$60/1000, "")))</f>
        <v>43.762959354365371</v>
      </c>
      <c r="Z84" s="40">
        <f t="shared" si="38"/>
        <v>21.881479677182686</v>
      </c>
      <c r="AA84" s="40">
        <f t="shared" si="43"/>
        <v>0.63424657534246576</v>
      </c>
      <c r="AB84" s="40">
        <f t="shared" si="44"/>
        <v>0</v>
      </c>
      <c r="AC84" s="34">
        <f t="shared" si="45"/>
        <v>27.756507097357762</v>
      </c>
      <c r="AD84" s="34">
        <f t="shared" si="46"/>
        <v>0</v>
      </c>
      <c r="AE84" s="34">
        <f t="shared" si="47"/>
        <v>27.756507097357762</v>
      </c>
      <c r="AF84" s="36">
        <v>0</v>
      </c>
      <c r="AG84" s="36">
        <v>0</v>
      </c>
      <c r="AH84" s="39">
        <v>0</v>
      </c>
      <c r="AI84" s="39">
        <v>0</v>
      </c>
      <c r="AJ84" s="36">
        <f t="shared" si="48"/>
        <v>0</v>
      </c>
      <c r="AK84" s="36">
        <f t="shared" si="49"/>
        <v>0</v>
      </c>
      <c r="AL84" s="40"/>
      <c r="AM84" s="40"/>
      <c r="AN84" s="34">
        <f t="shared" si="50"/>
        <v>0</v>
      </c>
      <c r="AO84" s="34">
        <f t="shared" si="51"/>
        <v>0</v>
      </c>
      <c r="AP84" s="34">
        <f t="shared" si="52"/>
        <v>0</v>
      </c>
      <c r="AR84" s="34">
        <f t="shared" si="53"/>
        <v>27.756507097357762</v>
      </c>
      <c r="AS84" s="34"/>
      <c r="AT84" s="29">
        <f>+VLOOKUP(C84,dotpop24!$A$10:$K$178,11,0)</f>
        <v>772388.52</v>
      </c>
      <c r="AU84" s="29">
        <f t="shared" si="54"/>
        <v>40652.027368421055</v>
      </c>
      <c r="AV84" s="29">
        <f t="shared" si="57"/>
        <v>20326.013684210528</v>
      </c>
      <c r="AW84" s="29">
        <f t="shared" si="55"/>
        <v>25783.409139149244</v>
      </c>
    </row>
    <row r="85" spans="1:49">
      <c r="A85" s="1" t="s">
        <v>33</v>
      </c>
      <c r="B85" s="19" t="s">
        <v>34</v>
      </c>
      <c r="C85" s="98">
        <v>320780323</v>
      </c>
      <c r="D85" s="218" t="s">
        <v>1531</v>
      </c>
      <c r="E85" s="1" t="s">
        <v>25</v>
      </c>
      <c r="F85" s="214">
        <v>13576</v>
      </c>
      <c r="G85" s="214">
        <v>10276</v>
      </c>
      <c r="H85" s="214">
        <v>3300</v>
      </c>
      <c r="I85" s="215">
        <v>0.53500000000000003</v>
      </c>
      <c r="J85" s="215">
        <v>12.24</v>
      </c>
      <c r="K85" s="215">
        <v>9.8000000000000007</v>
      </c>
      <c r="L85" s="215">
        <v>4.4800000000000004</v>
      </c>
      <c r="M85" s="215">
        <v>2.21</v>
      </c>
      <c r="N85" s="35">
        <v>32</v>
      </c>
      <c r="O85" s="35" t="s">
        <v>26</v>
      </c>
      <c r="P85" s="218">
        <v>55</v>
      </c>
      <c r="Q85" s="218">
        <v>15</v>
      </c>
      <c r="R85" s="225">
        <f>U2</f>
        <v>0</v>
      </c>
      <c r="S85" s="225">
        <f>V2</f>
        <v>0</v>
      </c>
      <c r="T85" s="227" t="s">
        <v>661</v>
      </c>
      <c r="U85" s="78">
        <f t="shared" si="39"/>
        <v>21.346575342465755</v>
      </c>
      <c r="V85" s="78">
        <f t="shared" si="40"/>
        <v>5.2089041095890396</v>
      </c>
      <c r="W85" s="220">
        <f t="shared" si="41"/>
        <v>6</v>
      </c>
      <c r="X85" s="220">
        <f t="shared" si="42"/>
        <v>2</v>
      </c>
      <c r="Y85" s="40">
        <f>IF(B85="Public", 'synthèse v2'!$F$62/1000, IF(B85="Privé non lucratif",'synthèse v2'!$F$61/1000, IF(B85="Privé", 'synthèse v2'!$F$60/1000, "")))</f>
        <v>36.984345997610518</v>
      </c>
      <c r="Z85" s="40">
        <f t="shared" si="38"/>
        <v>18.492172998805259</v>
      </c>
      <c r="AA85" s="40">
        <f t="shared" si="43"/>
        <v>5.4</v>
      </c>
      <c r="AB85" s="40">
        <f t="shared" si="44"/>
        <v>1.9</v>
      </c>
      <c r="AC85" s="34">
        <f t="shared" si="45"/>
        <v>199.71546838709682</v>
      </c>
      <c r="AD85" s="34">
        <f t="shared" si="46"/>
        <v>35.135128697729989</v>
      </c>
      <c r="AE85" s="34">
        <f t="shared" si="47"/>
        <v>234.8505970848268</v>
      </c>
      <c r="AF85" s="220">
        <v>49</v>
      </c>
      <c r="AG85" s="220">
        <v>13</v>
      </c>
      <c r="AH85" s="39">
        <f>(G85-(W85*365*R85))/(AF85*365)</f>
        <v>0.57455968688845405</v>
      </c>
      <c r="AI85" s="39">
        <f>(H85-(X85*365*S85))/(AG85*365)</f>
        <v>0.69546891464699689</v>
      </c>
      <c r="AJ85" s="36">
        <f t="shared" si="48"/>
        <v>15.946575342465753</v>
      </c>
      <c r="AK85" s="36">
        <f t="shared" si="49"/>
        <v>3.3089041095890397</v>
      </c>
      <c r="AL85" s="40">
        <v>171</v>
      </c>
      <c r="AM85" s="40">
        <v>85.5</v>
      </c>
      <c r="AN85" s="34">
        <f t="shared" si="50"/>
        <v>2726.8643835616435</v>
      </c>
      <c r="AO85" s="34">
        <f t="shared" si="51"/>
        <v>282.91130136986288</v>
      </c>
      <c r="AP85" s="34">
        <f t="shared" si="52"/>
        <v>3009.7756849315065</v>
      </c>
      <c r="AR85" s="34">
        <f t="shared" si="53"/>
        <v>3244.6262820163333</v>
      </c>
      <c r="AS85" s="34"/>
      <c r="AT85" s="29">
        <f>+VLOOKUP(C85,dotpop24!$A$10:$K$178,11,0)</f>
        <v>22704.39</v>
      </c>
      <c r="AU85" s="29">
        <f t="shared" si="54"/>
        <v>363.27024</v>
      </c>
      <c r="AV85" s="29">
        <f t="shared" si="57"/>
        <v>181.63512</v>
      </c>
      <c r="AW85" s="29">
        <f t="shared" si="55"/>
        <v>2306.766024</v>
      </c>
    </row>
    <row r="86" spans="1:49">
      <c r="A86" s="1" t="s">
        <v>33</v>
      </c>
      <c r="B86" s="1" t="s">
        <v>34</v>
      </c>
      <c r="C86" s="98">
        <v>340000025</v>
      </c>
      <c r="D86" s="19" t="s">
        <v>1516</v>
      </c>
      <c r="E86" s="19" t="s">
        <v>25</v>
      </c>
      <c r="F86" s="46">
        <v>33662</v>
      </c>
      <c r="G86" s="46">
        <v>11230</v>
      </c>
      <c r="H86" s="46">
        <v>22432</v>
      </c>
      <c r="I86" s="47">
        <v>0.58599999999999997</v>
      </c>
      <c r="J86" s="47">
        <v>10.17</v>
      </c>
      <c r="K86" s="47">
        <v>9.89</v>
      </c>
      <c r="L86" s="47">
        <v>5.88</v>
      </c>
      <c r="M86" s="47">
        <v>7.38</v>
      </c>
      <c r="N86" s="35">
        <v>34</v>
      </c>
      <c r="O86" s="35" t="s">
        <v>26</v>
      </c>
      <c r="P86" s="35">
        <v>90</v>
      </c>
      <c r="Q86" s="35">
        <v>60</v>
      </c>
      <c r="R86" s="225"/>
      <c r="S86" s="225"/>
      <c r="T86" s="228" t="s">
        <v>661</v>
      </c>
      <c r="U86" s="78">
        <f t="shared" si="39"/>
        <v>49.5</v>
      </c>
      <c r="V86" s="78">
        <f t="shared" si="40"/>
        <v>0</v>
      </c>
      <c r="W86" s="36">
        <f t="shared" si="41"/>
        <v>0</v>
      </c>
      <c r="X86" s="36">
        <f t="shared" si="42"/>
        <v>0</v>
      </c>
      <c r="Y86" s="40">
        <f>IF(B86="Public", 'synthèse v2'!$F$62/1000, IF(B86="Privé non lucratif",'synthèse v2'!$F$61/1000, IF(B86="Privé", 'synthèse v2'!$F$60/1000, "")))</f>
        <v>36.984345997610518</v>
      </c>
      <c r="Z86" s="40">
        <f t="shared" si="38"/>
        <v>18.492172998805259</v>
      </c>
      <c r="AA86" s="40">
        <f t="shared" si="43"/>
        <v>0</v>
      </c>
      <c r="AB86" s="40">
        <f t="shared" si="44"/>
        <v>0</v>
      </c>
      <c r="AC86" s="34">
        <f t="shared" si="45"/>
        <v>0</v>
      </c>
      <c r="AD86" s="34">
        <f t="shared" si="46"/>
        <v>0</v>
      </c>
      <c r="AE86" s="34">
        <f t="shared" si="47"/>
        <v>0</v>
      </c>
      <c r="AF86" s="36">
        <v>90</v>
      </c>
      <c r="AG86" s="36">
        <v>60</v>
      </c>
      <c r="AH86" s="39">
        <v>0.35</v>
      </c>
      <c r="AI86" s="39">
        <v>1.06</v>
      </c>
      <c r="AJ86" s="36">
        <f t="shared" si="48"/>
        <v>49.5</v>
      </c>
      <c r="AK86" s="36">
        <f t="shared" si="49"/>
        <v>0</v>
      </c>
      <c r="AL86" s="40">
        <v>82</v>
      </c>
      <c r="AM86" s="40">
        <v>41</v>
      </c>
      <c r="AN86" s="34">
        <f t="shared" si="50"/>
        <v>4059</v>
      </c>
      <c r="AO86" s="34">
        <f t="shared" si="51"/>
        <v>0</v>
      </c>
      <c r="AP86" s="34">
        <f t="shared" si="52"/>
        <v>4059</v>
      </c>
      <c r="AR86" s="34">
        <f t="shared" si="53"/>
        <v>4059</v>
      </c>
      <c r="AS86" s="34"/>
      <c r="AT86" s="29">
        <f>+VLOOKUP(C86,dotpop24!$A$10:$K$178,11,0)</f>
        <v>143284.70000000001</v>
      </c>
      <c r="AU86" s="29">
        <f t="shared" si="54"/>
        <v>1194.0391666666667</v>
      </c>
      <c r="AV86" s="29">
        <f t="shared" si="57"/>
        <v>597.01958333333334</v>
      </c>
      <c r="AW86" s="29">
        <f t="shared" si="55"/>
        <v>0</v>
      </c>
    </row>
    <row r="87" spans="1:49">
      <c r="A87" s="1" t="s">
        <v>33</v>
      </c>
      <c r="B87" s="1" t="s">
        <v>34</v>
      </c>
      <c r="C87" s="97">
        <v>340000439</v>
      </c>
      <c r="D87" s="1" t="s">
        <v>117</v>
      </c>
      <c r="E87" s="1" t="s">
        <v>25</v>
      </c>
      <c r="F87" s="44">
        <v>24405</v>
      </c>
      <c r="G87" s="44">
        <v>20880</v>
      </c>
      <c r="H87" s="44">
        <v>3525</v>
      </c>
      <c r="I87" s="45">
        <v>0.39400000000000002</v>
      </c>
      <c r="J87" s="45">
        <v>65.8</v>
      </c>
      <c r="K87" s="45">
        <v>8.77</v>
      </c>
      <c r="L87" s="45">
        <v>3.58</v>
      </c>
      <c r="M87" s="45">
        <v>3.15</v>
      </c>
      <c r="N87" s="35">
        <v>34</v>
      </c>
      <c r="O87" s="35" t="s">
        <v>26</v>
      </c>
      <c r="P87" s="35">
        <v>68</v>
      </c>
      <c r="Q87" s="35">
        <v>10</v>
      </c>
      <c r="R87" s="225">
        <f t="shared" si="56"/>
        <v>0.84125705076551172</v>
      </c>
      <c r="S87" s="225">
        <f>+H87/(Q87*365)</f>
        <v>0.96575342465753422</v>
      </c>
      <c r="T87" s="225"/>
      <c r="U87" s="78">
        <f t="shared" si="39"/>
        <v>3.9945205479452053</v>
      </c>
      <c r="V87" s="78">
        <f t="shared" si="40"/>
        <v>0</v>
      </c>
      <c r="W87" s="36">
        <f t="shared" si="41"/>
        <v>68</v>
      </c>
      <c r="X87" s="36">
        <f t="shared" si="42"/>
        <v>10</v>
      </c>
      <c r="Y87" s="40">
        <f>IF(B87="Public", 'synthèse v2'!$F$62/1000, IF(B87="Privé non lucratif",'synthèse v2'!$F$61/1000, IF(B87="Privé", 'synthèse v2'!$F$60/1000, "")))</f>
        <v>36.984345997610518</v>
      </c>
      <c r="Z87" s="40">
        <f t="shared" si="38"/>
        <v>18.492172998805259</v>
      </c>
      <c r="AA87" s="40">
        <f t="shared" si="43"/>
        <v>3.9945205479452053</v>
      </c>
      <c r="AB87" s="40">
        <f t="shared" si="44"/>
        <v>0</v>
      </c>
      <c r="AC87" s="34">
        <f t="shared" si="45"/>
        <v>147.73473003977023</v>
      </c>
      <c r="AD87" s="34">
        <f t="shared" si="46"/>
        <v>0</v>
      </c>
      <c r="AE87" s="34">
        <f t="shared" si="47"/>
        <v>147.73473003977023</v>
      </c>
      <c r="AF87" s="36">
        <v>0</v>
      </c>
      <c r="AG87" s="36">
        <v>0</v>
      </c>
      <c r="AH87" s="39">
        <v>0</v>
      </c>
      <c r="AI87" s="39">
        <v>0</v>
      </c>
      <c r="AJ87" s="36">
        <f t="shared" si="48"/>
        <v>0</v>
      </c>
      <c r="AK87" s="36">
        <f t="shared" si="49"/>
        <v>0</v>
      </c>
      <c r="AL87" s="40"/>
      <c r="AM87" s="40"/>
      <c r="AN87" s="34">
        <f t="shared" si="50"/>
        <v>0</v>
      </c>
      <c r="AO87" s="34">
        <f t="shared" si="51"/>
        <v>0</v>
      </c>
      <c r="AP87" s="34">
        <f t="shared" si="52"/>
        <v>0</v>
      </c>
      <c r="AR87" s="34">
        <f t="shared" si="53"/>
        <v>147.73473003977023</v>
      </c>
      <c r="AS87" s="34"/>
      <c r="AT87" s="29">
        <f>+VLOOKUP(C87,dotpop24!$A$10:$K$178,11,0)</f>
        <v>2655700.7000000002</v>
      </c>
      <c r="AU87" s="29">
        <f t="shared" si="54"/>
        <v>36379.461643835617</v>
      </c>
      <c r="AV87" s="29">
        <f t="shared" si="57"/>
        <v>18189.730821917808</v>
      </c>
      <c r="AW87" s="29">
        <f t="shared" si="55"/>
        <v>145318.50705948583</v>
      </c>
    </row>
    <row r="88" spans="1:49">
      <c r="A88" s="1" t="s">
        <v>33</v>
      </c>
      <c r="B88" s="1" t="s">
        <v>34</v>
      </c>
      <c r="C88" s="97">
        <v>340001064</v>
      </c>
      <c r="D88" s="1" t="s">
        <v>118</v>
      </c>
      <c r="E88" s="1" t="s">
        <v>25</v>
      </c>
      <c r="F88" s="44">
        <v>23226</v>
      </c>
      <c r="G88" s="44">
        <v>20220</v>
      </c>
      <c r="H88" s="44">
        <v>3006</v>
      </c>
      <c r="I88" s="45">
        <v>0.76100000000000001</v>
      </c>
      <c r="J88" s="45">
        <v>54.01</v>
      </c>
      <c r="K88" s="45">
        <v>12.22</v>
      </c>
      <c r="L88" s="45">
        <v>2.68</v>
      </c>
      <c r="M88" s="45">
        <v>2.34</v>
      </c>
      <c r="N88" s="35">
        <v>34</v>
      </c>
      <c r="O88" s="35" t="s">
        <v>26</v>
      </c>
      <c r="P88" s="35">
        <v>62</v>
      </c>
      <c r="Q88" s="35">
        <v>13</v>
      </c>
      <c r="R88" s="225">
        <f t="shared" si="56"/>
        <v>0.89350419796730007</v>
      </c>
      <c r="S88" s="225">
        <f>+H88/(Q88*365)</f>
        <v>0.633508956796628</v>
      </c>
      <c r="T88" s="225"/>
      <c r="U88" s="78">
        <f t="shared" si="39"/>
        <v>0.40273972602739727</v>
      </c>
      <c r="V88" s="78">
        <f t="shared" si="40"/>
        <v>4.6378925184404647</v>
      </c>
      <c r="W88" s="36">
        <f t="shared" si="41"/>
        <v>62</v>
      </c>
      <c r="X88" s="36">
        <f t="shared" si="42"/>
        <v>12</v>
      </c>
      <c r="Y88" s="40">
        <f>IF(B88="Public", 'synthèse v2'!$F$62/1000, IF(B88="Privé non lucratif",'synthèse v2'!$F$61/1000, IF(B88="Privé", 'synthèse v2'!$F$60/1000, "")))</f>
        <v>36.984345997610518</v>
      </c>
      <c r="Z88" s="40">
        <f t="shared" si="38"/>
        <v>18.492172998805259</v>
      </c>
      <c r="AA88" s="40">
        <f t="shared" si="43"/>
        <v>0.40273972602739727</v>
      </c>
      <c r="AB88" s="40">
        <f t="shared" si="44"/>
        <v>3.7978925184404644</v>
      </c>
      <c r="AC88" s="34">
        <f t="shared" si="45"/>
        <v>14.895065374380128</v>
      </c>
      <c r="AD88" s="34">
        <f t="shared" si="46"/>
        <v>70.231285481869264</v>
      </c>
      <c r="AE88" s="34">
        <f t="shared" si="47"/>
        <v>85.126350856249388</v>
      </c>
      <c r="AF88" s="36">
        <v>0</v>
      </c>
      <c r="AG88" s="36">
        <v>1</v>
      </c>
      <c r="AH88" s="39">
        <v>0</v>
      </c>
      <c r="AI88" s="39">
        <v>0.11</v>
      </c>
      <c r="AJ88" s="36">
        <f t="shared" si="48"/>
        <v>0</v>
      </c>
      <c r="AK88" s="36">
        <f t="shared" si="49"/>
        <v>0.84000000000000008</v>
      </c>
      <c r="AL88" s="40"/>
      <c r="AM88" s="40"/>
      <c r="AN88" s="34">
        <f t="shared" si="50"/>
        <v>0</v>
      </c>
      <c r="AO88" s="34">
        <f t="shared" si="51"/>
        <v>0</v>
      </c>
      <c r="AP88" s="34">
        <f t="shared" si="52"/>
        <v>0</v>
      </c>
      <c r="AR88" s="34">
        <f t="shared" si="53"/>
        <v>85.126350856249388</v>
      </c>
      <c r="AS88" s="34"/>
      <c r="AT88" s="29">
        <f>+VLOOKUP(C88,dotpop24!$A$10:$K$178,11,0)</f>
        <v>3411690.82</v>
      </c>
      <c r="AU88" s="29">
        <f t="shared" si="54"/>
        <v>49805.705401459854</v>
      </c>
      <c r="AV88" s="29">
        <f t="shared" si="57"/>
        <v>24902.852700729927</v>
      </c>
      <c r="AW88" s="29">
        <f t="shared" si="55"/>
        <v>114637.0941079123</v>
      </c>
    </row>
    <row r="89" spans="1:49">
      <c r="A89" s="1" t="s">
        <v>30</v>
      </c>
      <c r="B89" s="1" t="s">
        <v>30</v>
      </c>
      <c r="C89" s="97">
        <v>340009018</v>
      </c>
      <c r="D89" s="1" t="s">
        <v>119</v>
      </c>
      <c r="E89" s="1" t="s">
        <v>25</v>
      </c>
      <c r="F89" s="44">
        <v>54646</v>
      </c>
      <c r="G89" s="44">
        <v>44428</v>
      </c>
      <c r="H89" s="44">
        <v>10218</v>
      </c>
      <c r="I89" s="45">
        <v>0.5</v>
      </c>
      <c r="J89" s="45">
        <v>69.89</v>
      </c>
      <c r="K89" s="45">
        <v>7.38</v>
      </c>
      <c r="L89" s="45">
        <v>3.67</v>
      </c>
      <c r="M89" s="45">
        <v>2.5299999999999998</v>
      </c>
      <c r="N89" s="35">
        <v>34</v>
      </c>
      <c r="O89" s="35" t="s">
        <v>26</v>
      </c>
      <c r="P89" s="35">
        <v>130</v>
      </c>
      <c r="Q89" s="35">
        <v>27</v>
      </c>
      <c r="R89" s="225">
        <f t="shared" si="56"/>
        <v>0.93631190727081137</v>
      </c>
      <c r="S89" s="225">
        <f>+H89/(Q89*365)</f>
        <v>1.036834094368341</v>
      </c>
      <c r="T89" s="225"/>
      <c r="U89" s="78">
        <f t="shared" si="39"/>
        <v>0</v>
      </c>
      <c r="V89" s="78">
        <f t="shared" si="40"/>
        <v>0</v>
      </c>
      <c r="W89" s="36">
        <f t="shared" si="41"/>
        <v>130</v>
      </c>
      <c r="X89" s="36">
        <f t="shared" si="42"/>
        <v>27</v>
      </c>
      <c r="Y89" s="40">
        <f>IF(B89="Public", 'synthèse v2'!$F$62/1000, IF(B89="Privé non lucratif",'synthèse v2'!$F$61/1000, IF(B89="Privé", 'synthèse v2'!$F$60/1000, "")))</f>
        <v>26.522545062955601</v>
      </c>
      <c r="Z89" s="40">
        <f t="shared" si="38"/>
        <v>13.2612725314778</v>
      </c>
      <c r="AA89" s="40">
        <f t="shared" si="43"/>
        <v>0</v>
      </c>
      <c r="AB89" s="40">
        <f t="shared" si="44"/>
        <v>0</v>
      </c>
      <c r="AC89" s="34">
        <f t="shared" si="45"/>
        <v>0</v>
      </c>
      <c r="AD89" s="34">
        <f t="shared" si="46"/>
        <v>0</v>
      </c>
      <c r="AE89" s="34">
        <f t="shared" si="47"/>
        <v>0</v>
      </c>
      <c r="AF89" s="36">
        <v>0</v>
      </c>
      <c r="AG89" s="36">
        <v>0</v>
      </c>
      <c r="AH89" s="39">
        <v>0</v>
      </c>
      <c r="AI89" s="39">
        <v>0</v>
      </c>
      <c r="AJ89" s="36">
        <f t="shared" si="48"/>
        <v>0</v>
      </c>
      <c r="AK89" s="36">
        <f t="shared" si="49"/>
        <v>0</v>
      </c>
      <c r="AL89" s="40"/>
      <c r="AM89" s="40"/>
      <c r="AN89" s="34">
        <f t="shared" si="50"/>
        <v>0</v>
      </c>
      <c r="AO89" s="34">
        <f t="shared" si="51"/>
        <v>0</v>
      </c>
      <c r="AP89" s="34">
        <f t="shared" si="52"/>
        <v>0</v>
      </c>
      <c r="AR89" s="34">
        <f t="shared" si="53"/>
        <v>0</v>
      </c>
      <c r="AS89" s="34"/>
      <c r="AT89" s="29">
        <f>+VLOOKUP(C89,dotpop24!$A$10:$K$178,11,0)</f>
        <v>3361446.81</v>
      </c>
      <c r="AU89" s="29">
        <f t="shared" si="54"/>
        <v>23424.716445993032</v>
      </c>
      <c r="AV89" s="29">
        <f t="shared" si="57"/>
        <v>11712.358222996516</v>
      </c>
      <c r="AW89" s="29">
        <f t="shared" si="55"/>
        <v>0</v>
      </c>
    </row>
    <row r="90" spans="1:49">
      <c r="A90" s="1" t="s">
        <v>22</v>
      </c>
      <c r="B90" s="1" t="s">
        <v>23</v>
      </c>
      <c r="C90" s="97">
        <v>340009893</v>
      </c>
      <c r="D90" s="1" t="s">
        <v>120</v>
      </c>
      <c r="E90" s="1" t="s">
        <v>25</v>
      </c>
      <c r="F90" s="44">
        <v>6851</v>
      </c>
      <c r="G90" s="44">
        <v>6851</v>
      </c>
      <c r="H90" s="44">
        <v>0</v>
      </c>
      <c r="I90" s="45">
        <v>0.47799999999999998</v>
      </c>
      <c r="J90" s="45">
        <v>77.040000000000006</v>
      </c>
      <c r="K90" s="45">
        <v>9.17</v>
      </c>
      <c r="L90" s="45">
        <v>4.2</v>
      </c>
      <c r="M90" s="45">
        <v>0.53</v>
      </c>
      <c r="N90" s="35">
        <v>34</v>
      </c>
      <c r="O90" s="35" t="s">
        <v>26</v>
      </c>
      <c r="P90" s="35">
        <v>30</v>
      </c>
      <c r="Q90" s="35">
        <v>0</v>
      </c>
      <c r="R90" s="225">
        <f t="shared" si="56"/>
        <v>0.62566210045662096</v>
      </c>
      <c r="S90" s="225"/>
      <c r="T90" s="225"/>
      <c r="U90" s="78">
        <f t="shared" si="39"/>
        <v>8.2301369863013729</v>
      </c>
      <c r="V90" s="78">
        <f t="shared" si="40"/>
        <v>0</v>
      </c>
      <c r="W90" s="36">
        <f t="shared" si="41"/>
        <v>30</v>
      </c>
      <c r="X90" s="36">
        <f t="shared" si="42"/>
        <v>0</v>
      </c>
      <c r="Y90" s="40">
        <f>IF(B90="Public", 'synthèse v2'!$F$62/1000, IF(B90="Privé non lucratif",'synthèse v2'!$F$61/1000, IF(B90="Privé", 'synthèse v2'!$F$60/1000, "")))</f>
        <v>43.762959354365371</v>
      </c>
      <c r="Z90" s="40">
        <f t="shared" si="38"/>
        <v>21.881479677182686</v>
      </c>
      <c r="AA90" s="40">
        <f t="shared" si="43"/>
        <v>8.2301369863013729</v>
      </c>
      <c r="AB90" s="40">
        <f t="shared" si="44"/>
        <v>0</v>
      </c>
      <c r="AC90" s="34">
        <f t="shared" si="45"/>
        <v>360.17515041236607</v>
      </c>
      <c r="AD90" s="34">
        <f t="shared" si="46"/>
        <v>0</v>
      </c>
      <c r="AE90" s="34">
        <f t="shared" si="47"/>
        <v>360.17515041236607</v>
      </c>
      <c r="AF90" s="36">
        <v>0</v>
      </c>
      <c r="AG90" s="36">
        <v>0</v>
      </c>
      <c r="AH90" s="39">
        <v>0</v>
      </c>
      <c r="AI90" s="39">
        <v>0</v>
      </c>
      <c r="AJ90" s="36">
        <f t="shared" si="48"/>
        <v>0</v>
      </c>
      <c r="AK90" s="36">
        <f t="shared" si="49"/>
        <v>0</v>
      </c>
      <c r="AL90" s="40"/>
      <c r="AM90" s="40"/>
      <c r="AN90" s="34">
        <f t="shared" si="50"/>
        <v>0</v>
      </c>
      <c r="AO90" s="34">
        <f t="shared" si="51"/>
        <v>0</v>
      </c>
      <c r="AP90" s="34">
        <f t="shared" si="52"/>
        <v>0</v>
      </c>
      <c r="AR90" s="34">
        <f t="shared" si="53"/>
        <v>360.17515041236607</v>
      </c>
      <c r="AS90" s="34"/>
      <c r="AT90" s="29">
        <f>+VLOOKUP(C90,dotpop24!$A$10:$K$178,11,0)</f>
        <v>1019437.26</v>
      </c>
      <c r="AU90" s="29">
        <f t="shared" si="54"/>
        <v>33981.241999999998</v>
      </c>
      <c r="AV90" s="29">
        <f t="shared" si="57"/>
        <v>16990.620999999999</v>
      </c>
      <c r="AW90" s="29">
        <f t="shared" si="55"/>
        <v>279670.27662465762</v>
      </c>
    </row>
    <row r="91" spans="1:49">
      <c r="A91" s="1" t="s">
        <v>22</v>
      </c>
      <c r="B91" s="1" t="s">
        <v>23</v>
      </c>
      <c r="C91" s="97">
        <v>340011295</v>
      </c>
      <c r="D91" s="1" t="s">
        <v>121</v>
      </c>
      <c r="E91" s="1" t="s">
        <v>25</v>
      </c>
      <c r="F91" s="44">
        <v>25796</v>
      </c>
      <c r="G91" s="44">
        <v>23952</v>
      </c>
      <c r="H91" s="44">
        <v>1844</v>
      </c>
      <c r="I91" s="45">
        <v>0.432</v>
      </c>
      <c r="J91" s="45">
        <v>78.819999999999993</v>
      </c>
      <c r="K91" s="45">
        <v>10.11</v>
      </c>
      <c r="L91" s="45">
        <v>3.87</v>
      </c>
      <c r="M91" s="45">
        <v>1.46</v>
      </c>
      <c r="N91" s="35">
        <v>34</v>
      </c>
      <c r="O91" s="35" t="s">
        <v>26</v>
      </c>
      <c r="P91" s="35">
        <v>72</v>
      </c>
      <c r="Q91" s="35">
        <v>10</v>
      </c>
      <c r="R91" s="225">
        <f t="shared" si="56"/>
        <v>0.91141552511415524</v>
      </c>
      <c r="S91" s="225">
        <f>+H91/(Q91*365)</f>
        <v>0.50520547945205474</v>
      </c>
      <c r="T91" s="225"/>
      <c r="U91" s="78">
        <f t="shared" si="39"/>
        <v>0</v>
      </c>
      <c r="V91" s="78">
        <f t="shared" si="40"/>
        <v>4.4479452054794528</v>
      </c>
      <c r="W91" s="36">
        <f t="shared" si="41"/>
        <v>72</v>
      </c>
      <c r="X91" s="36">
        <f t="shared" si="42"/>
        <v>10</v>
      </c>
      <c r="Y91" s="40">
        <f>IF(B91="Public", 'synthèse v2'!$F$62/1000, IF(B91="Privé non lucratif",'synthèse v2'!$F$61/1000, IF(B91="Privé", 'synthèse v2'!$F$60/1000, "")))</f>
        <v>43.762959354365371</v>
      </c>
      <c r="Z91" s="40">
        <f t="shared" si="38"/>
        <v>21.881479677182686</v>
      </c>
      <c r="AA91" s="40">
        <f t="shared" si="43"/>
        <v>0</v>
      </c>
      <c r="AB91" s="40">
        <f t="shared" si="44"/>
        <v>4.4479452054794528</v>
      </c>
      <c r="AC91" s="34">
        <f t="shared" si="45"/>
        <v>0</v>
      </c>
      <c r="AD91" s="34">
        <f t="shared" si="46"/>
        <v>97.327622618920813</v>
      </c>
      <c r="AE91" s="34">
        <f t="shared" si="47"/>
        <v>97.327622618920813</v>
      </c>
      <c r="AF91" s="36">
        <v>0</v>
      </c>
      <c r="AG91" s="36">
        <v>0</v>
      </c>
      <c r="AH91" s="39">
        <v>0</v>
      </c>
      <c r="AI91" s="39">
        <v>0</v>
      </c>
      <c r="AJ91" s="36">
        <f t="shared" si="48"/>
        <v>0</v>
      </c>
      <c r="AK91" s="36">
        <f t="shared" si="49"/>
        <v>0</v>
      </c>
      <c r="AL91" s="40"/>
      <c r="AM91" s="40"/>
      <c r="AN91" s="34">
        <f t="shared" si="50"/>
        <v>0</v>
      </c>
      <c r="AO91" s="34">
        <f t="shared" si="51"/>
        <v>0</v>
      </c>
      <c r="AP91" s="34">
        <f t="shared" si="52"/>
        <v>0</v>
      </c>
      <c r="AR91" s="34">
        <f t="shared" si="53"/>
        <v>97.327622618920813</v>
      </c>
      <c r="AS91" s="34"/>
      <c r="AT91" s="29">
        <f>+VLOOKUP(C91,dotpop24!$A$10:$K$178,11,0)</f>
        <v>3247718.36</v>
      </c>
      <c r="AU91" s="29">
        <f t="shared" si="54"/>
        <v>42178.160519480516</v>
      </c>
      <c r="AV91" s="29">
        <f t="shared" si="57"/>
        <v>21089.080259740258</v>
      </c>
      <c r="AW91" s="29">
        <f t="shared" si="55"/>
        <v>93803.07342928306</v>
      </c>
    </row>
    <row r="92" spans="1:49">
      <c r="A92" s="1" t="s">
        <v>30</v>
      </c>
      <c r="B92" s="1" t="s">
        <v>30</v>
      </c>
      <c r="C92" s="97">
        <v>340019090</v>
      </c>
      <c r="D92" s="1" t="s">
        <v>122</v>
      </c>
      <c r="E92" s="1" t="s">
        <v>25</v>
      </c>
      <c r="F92" s="44">
        <v>50508</v>
      </c>
      <c r="G92" s="44">
        <v>35972</v>
      </c>
      <c r="H92" s="44">
        <v>14536</v>
      </c>
      <c r="I92" s="45">
        <v>0.57699999999999996</v>
      </c>
      <c r="J92" s="45">
        <v>66.14</v>
      </c>
      <c r="K92" s="45">
        <v>8.9</v>
      </c>
      <c r="L92" s="45">
        <v>3.79</v>
      </c>
      <c r="M92" s="45">
        <v>2.78</v>
      </c>
      <c r="N92" s="35">
        <v>34</v>
      </c>
      <c r="O92" s="35" t="s">
        <v>26</v>
      </c>
      <c r="P92" s="35">
        <v>107</v>
      </c>
      <c r="Q92" s="35">
        <v>60</v>
      </c>
      <c r="R92" s="225">
        <f t="shared" si="56"/>
        <v>0.92106004352835746</v>
      </c>
      <c r="S92" s="225">
        <f>+H92/(Q92*365)</f>
        <v>0.66374429223744291</v>
      </c>
      <c r="T92" s="225"/>
      <c r="U92" s="78">
        <f t="shared" si="39"/>
        <v>0</v>
      </c>
      <c r="V92" s="78">
        <f t="shared" si="40"/>
        <v>17.175342465753424</v>
      </c>
      <c r="W92" s="36">
        <f t="shared" si="41"/>
        <v>107</v>
      </c>
      <c r="X92" s="36">
        <f t="shared" si="42"/>
        <v>60</v>
      </c>
      <c r="Y92" s="40">
        <f>IF(B92="Public", 'synthèse v2'!$F$62/1000, IF(B92="Privé non lucratif",'synthèse v2'!$F$61/1000, IF(B92="Privé", 'synthèse v2'!$F$60/1000, "")))</f>
        <v>26.522545062955601</v>
      </c>
      <c r="Z92" s="40">
        <f t="shared" si="38"/>
        <v>13.2612725314778</v>
      </c>
      <c r="AA92" s="40">
        <f t="shared" si="43"/>
        <v>0</v>
      </c>
      <c r="AB92" s="40">
        <f t="shared" si="44"/>
        <v>17.175342465753424</v>
      </c>
      <c r="AC92" s="34">
        <f t="shared" si="45"/>
        <v>0</v>
      </c>
      <c r="AD92" s="34">
        <f t="shared" si="46"/>
        <v>227.76689725982007</v>
      </c>
      <c r="AE92" s="34">
        <f t="shared" si="47"/>
        <v>227.76689725982007</v>
      </c>
      <c r="AF92" s="36">
        <v>0</v>
      </c>
      <c r="AG92" s="36">
        <v>0</v>
      </c>
      <c r="AH92" s="39">
        <v>0</v>
      </c>
      <c r="AI92" s="39">
        <v>0</v>
      </c>
      <c r="AJ92" s="36">
        <f t="shared" si="48"/>
        <v>0</v>
      </c>
      <c r="AK92" s="36">
        <f t="shared" si="49"/>
        <v>0</v>
      </c>
      <c r="AL92" s="40"/>
      <c r="AM92" s="40"/>
      <c r="AN92" s="34">
        <f t="shared" si="50"/>
        <v>0</v>
      </c>
      <c r="AO92" s="34">
        <f t="shared" si="51"/>
        <v>0</v>
      </c>
      <c r="AP92" s="34">
        <f t="shared" si="52"/>
        <v>0</v>
      </c>
      <c r="AR92" s="34">
        <f t="shared" si="53"/>
        <v>227.76689725982007</v>
      </c>
      <c r="AS92" s="34"/>
      <c r="AT92" s="29">
        <f>+VLOOKUP(C92,dotpop24!$A$10:$K$178,11,0)</f>
        <v>4025794</v>
      </c>
      <c r="AU92" s="29">
        <f t="shared" si="54"/>
        <v>29385.357664233576</v>
      </c>
      <c r="AV92" s="29">
        <f t="shared" si="57"/>
        <v>14692.678832116788</v>
      </c>
      <c r="AW92" s="29">
        <f t="shared" si="55"/>
        <v>252351.79068093188</v>
      </c>
    </row>
    <row r="93" spans="1:49">
      <c r="A93" s="1" t="s">
        <v>30</v>
      </c>
      <c r="B93" s="1" t="s">
        <v>30</v>
      </c>
      <c r="C93" s="97">
        <v>340023258</v>
      </c>
      <c r="D93" s="1" t="s">
        <v>123</v>
      </c>
      <c r="E93" s="1" t="s">
        <v>25</v>
      </c>
      <c r="F93" s="44">
        <v>27165</v>
      </c>
      <c r="G93" s="44">
        <v>27165</v>
      </c>
      <c r="H93" s="44">
        <v>0</v>
      </c>
      <c r="I93" s="45">
        <v>0.30499999999999999</v>
      </c>
      <c r="J93" s="45">
        <v>77.86</v>
      </c>
      <c r="K93" s="45">
        <v>7.35</v>
      </c>
      <c r="L93" s="45">
        <v>2.42</v>
      </c>
      <c r="M93" s="45">
        <v>2.68</v>
      </c>
      <c r="N93" s="35">
        <v>34</v>
      </c>
      <c r="O93" s="35" t="s">
        <v>26</v>
      </c>
      <c r="P93" s="35">
        <v>79</v>
      </c>
      <c r="Q93" s="35">
        <v>0</v>
      </c>
      <c r="R93" s="225">
        <f t="shared" si="56"/>
        <v>0.94208427258539973</v>
      </c>
      <c r="S93" s="225"/>
      <c r="T93" s="225"/>
      <c r="U93" s="78">
        <f t="shared" si="39"/>
        <v>0</v>
      </c>
      <c r="V93" s="78">
        <f t="shared" si="40"/>
        <v>0</v>
      </c>
      <c r="W93" s="36">
        <f t="shared" si="41"/>
        <v>79</v>
      </c>
      <c r="X93" s="36">
        <f t="shared" si="42"/>
        <v>0</v>
      </c>
      <c r="Y93" s="40">
        <f>IF(B93="Public", 'synthèse v2'!$F$62/1000, IF(B93="Privé non lucratif",'synthèse v2'!$F$61/1000, IF(B93="Privé", 'synthèse v2'!$F$60/1000, "")))</f>
        <v>26.522545062955601</v>
      </c>
      <c r="Z93" s="40">
        <f t="shared" si="38"/>
        <v>13.2612725314778</v>
      </c>
      <c r="AA93" s="40">
        <f t="shared" si="43"/>
        <v>0</v>
      </c>
      <c r="AB93" s="40">
        <f t="shared" si="44"/>
        <v>0</v>
      </c>
      <c r="AC93" s="34">
        <f t="shared" si="45"/>
        <v>0</v>
      </c>
      <c r="AD93" s="34">
        <f t="shared" si="46"/>
        <v>0</v>
      </c>
      <c r="AE93" s="34">
        <f t="shared" si="47"/>
        <v>0</v>
      </c>
      <c r="AF93" s="36">
        <v>0</v>
      </c>
      <c r="AG93" s="36">
        <v>0</v>
      </c>
      <c r="AH93" s="39">
        <v>0</v>
      </c>
      <c r="AI93" s="39">
        <v>0</v>
      </c>
      <c r="AJ93" s="36">
        <f t="shared" si="48"/>
        <v>0</v>
      </c>
      <c r="AK93" s="36">
        <f t="shared" si="49"/>
        <v>0</v>
      </c>
      <c r="AL93" s="40"/>
      <c r="AM93" s="40"/>
      <c r="AN93" s="34">
        <f t="shared" si="50"/>
        <v>0</v>
      </c>
      <c r="AO93" s="34">
        <f t="shared" si="51"/>
        <v>0</v>
      </c>
      <c r="AP93" s="34">
        <f t="shared" si="52"/>
        <v>0</v>
      </c>
      <c r="AR93" s="34">
        <f t="shared" si="53"/>
        <v>0</v>
      </c>
      <c r="AS93" s="34"/>
      <c r="AT93" s="29">
        <f>+VLOOKUP(C93,dotpop24!$A$10:$K$178,11,0)</f>
        <v>1921627.43</v>
      </c>
      <c r="AU93" s="29">
        <f t="shared" si="54"/>
        <v>24324.397848101264</v>
      </c>
      <c r="AV93" s="29">
        <f t="shared" si="57"/>
        <v>12162.198924050632</v>
      </c>
      <c r="AW93" s="29">
        <f t="shared" si="55"/>
        <v>0</v>
      </c>
    </row>
    <row r="94" spans="1:49">
      <c r="A94" s="1" t="s">
        <v>30</v>
      </c>
      <c r="B94" s="1" t="s">
        <v>30</v>
      </c>
      <c r="C94" s="97">
        <v>340024512</v>
      </c>
      <c r="D94" s="1" t="s">
        <v>124</v>
      </c>
      <c r="E94" s="1" t="s">
        <v>25</v>
      </c>
      <c r="F94" s="44">
        <v>9231</v>
      </c>
      <c r="G94" s="44">
        <v>0</v>
      </c>
      <c r="H94" s="44">
        <v>9231</v>
      </c>
      <c r="I94" s="45">
        <v>0.47199999999999998</v>
      </c>
      <c r="J94" s="45">
        <v>78.900000000000006</v>
      </c>
      <c r="K94" s="45">
        <v>5.65</v>
      </c>
      <c r="L94" s="45">
        <v>3.86</v>
      </c>
      <c r="M94" s="45">
        <v>3.97</v>
      </c>
      <c r="N94" s="35">
        <v>34</v>
      </c>
      <c r="O94" s="35" t="s">
        <v>26</v>
      </c>
      <c r="P94" s="35">
        <v>0</v>
      </c>
      <c r="Q94" s="35">
        <v>50</v>
      </c>
      <c r="R94" s="225"/>
      <c r="S94" s="225">
        <f>+H94/(Q94*365)</f>
        <v>0.50580821917808216</v>
      </c>
      <c r="T94" s="225"/>
      <c r="U94" s="78">
        <f t="shared" si="39"/>
        <v>0</v>
      </c>
      <c r="V94" s="78">
        <f t="shared" si="40"/>
        <v>22.209589041095889</v>
      </c>
      <c r="W94" s="36">
        <f t="shared" si="41"/>
        <v>0</v>
      </c>
      <c r="X94" s="36">
        <f t="shared" si="42"/>
        <v>50</v>
      </c>
      <c r="Y94" s="40">
        <f>IF(B94="Public", 'synthèse v2'!$F$62/1000, IF(B94="Privé non lucratif",'synthèse v2'!$F$61/1000, IF(B94="Privé", 'synthèse v2'!$F$60/1000, "")))</f>
        <v>26.522545062955601</v>
      </c>
      <c r="Z94" s="40">
        <f t="shared" si="38"/>
        <v>13.2612725314778</v>
      </c>
      <c r="AA94" s="40">
        <f t="shared" si="43"/>
        <v>0</v>
      </c>
      <c r="AB94" s="40">
        <f t="shared" si="44"/>
        <v>22.209589041095889</v>
      </c>
      <c r="AC94" s="34">
        <f t="shared" si="45"/>
        <v>0</v>
      </c>
      <c r="AD94" s="34">
        <f t="shared" si="46"/>
        <v>294.52741308609529</v>
      </c>
      <c r="AE94" s="34">
        <f t="shared" si="47"/>
        <v>294.52741308609529</v>
      </c>
      <c r="AF94" s="36">
        <v>0</v>
      </c>
      <c r="AG94" s="36">
        <v>0</v>
      </c>
      <c r="AH94" s="39">
        <v>0</v>
      </c>
      <c r="AI94" s="39">
        <v>0</v>
      </c>
      <c r="AJ94" s="36">
        <f t="shared" si="48"/>
        <v>0</v>
      </c>
      <c r="AK94" s="36">
        <f t="shared" si="49"/>
        <v>0</v>
      </c>
      <c r="AL94" s="40"/>
      <c r="AM94" s="40"/>
      <c r="AN94" s="34">
        <f t="shared" si="50"/>
        <v>0</v>
      </c>
      <c r="AO94" s="34">
        <f t="shared" si="51"/>
        <v>0</v>
      </c>
      <c r="AP94" s="34">
        <f t="shared" si="52"/>
        <v>0</v>
      </c>
      <c r="AR94" s="34">
        <f t="shared" si="53"/>
        <v>294.52741308609529</v>
      </c>
      <c r="AS94" s="34"/>
      <c r="AT94" s="29">
        <f>+VLOOKUP(C94,dotpop24!$A$10:$K$178,11,0)</f>
        <v>664491.17000000004</v>
      </c>
      <c r="AU94" s="29">
        <f t="shared" si="54"/>
        <v>26579.646800000002</v>
      </c>
      <c r="AV94" s="29">
        <f t="shared" si="57"/>
        <v>13289.823400000001</v>
      </c>
      <c r="AW94" s="29">
        <f t="shared" si="55"/>
        <v>295161.51614273974</v>
      </c>
    </row>
    <row r="95" spans="1:49">
      <c r="A95" s="1" t="s">
        <v>30</v>
      </c>
      <c r="B95" s="1" t="s">
        <v>30</v>
      </c>
      <c r="C95" s="97">
        <v>340024546</v>
      </c>
      <c r="D95" s="1" t="s">
        <v>125</v>
      </c>
      <c r="E95" s="1" t="s">
        <v>25</v>
      </c>
      <c r="F95" s="44">
        <v>27307</v>
      </c>
      <c r="G95" s="44">
        <v>27307</v>
      </c>
      <c r="H95" s="44">
        <v>0</v>
      </c>
      <c r="I95" s="45">
        <v>0.33800000000000002</v>
      </c>
      <c r="J95" s="45">
        <v>80.459999999999994</v>
      </c>
      <c r="K95" s="45">
        <v>8.7200000000000006</v>
      </c>
      <c r="L95" s="45">
        <v>2.74</v>
      </c>
      <c r="M95" s="45">
        <v>1.03</v>
      </c>
      <c r="N95" s="35">
        <v>34</v>
      </c>
      <c r="O95" s="35" t="s">
        <v>26</v>
      </c>
      <c r="P95" s="35">
        <v>82</v>
      </c>
      <c r="Q95" s="35">
        <v>0</v>
      </c>
      <c r="R95" s="225">
        <f t="shared" si="56"/>
        <v>0.91236217841630474</v>
      </c>
      <c r="S95" s="225"/>
      <c r="T95" s="225"/>
      <c r="U95" s="78">
        <f t="shared" si="39"/>
        <v>0</v>
      </c>
      <c r="V95" s="78">
        <f t="shared" si="40"/>
        <v>0</v>
      </c>
      <c r="W95" s="36">
        <f t="shared" si="41"/>
        <v>82</v>
      </c>
      <c r="X95" s="36">
        <f t="shared" si="42"/>
        <v>0</v>
      </c>
      <c r="Y95" s="40">
        <f>IF(B95="Public", 'synthèse v2'!$F$62/1000, IF(B95="Privé non lucratif",'synthèse v2'!$F$61/1000, IF(B95="Privé", 'synthèse v2'!$F$60/1000, "")))</f>
        <v>26.522545062955601</v>
      </c>
      <c r="Z95" s="40">
        <f t="shared" si="38"/>
        <v>13.2612725314778</v>
      </c>
      <c r="AA95" s="40">
        <f t="shared" si="43"/>
        <v>0</v>
      </c>
      <c r="AB95" s="40">
        <f t="shared" si="44"/>
        <v>0</v>
      </c>
      <c r="AC95" s="34">
        <f t="shared" si="45"/>
        <v>0</v>
      </c>
      <c r="AD95" s="34">
        <f t="shared" si="46"/>
        <v>0</v>
      </c>
      <c r="AE95" s="34">
        <f t="shared" si="47"/>
        <v>0</v>
      </c>
      <c r="AF95" s="36">
        <v>0</v>
      </c>
      <c r="AG95" s="36">
        <v>0</v>
      </c>
      <c r="AH95" s="39">
        <v>0</v>
      </c>
      <c r="AI95" s="39">
        <v>0</v>
      </c>
      <c r="AJ95" s="36">
        <f t="shared" si="48"/>
        <v>0</v>
      </c>
      <c r="AK95" s="36">
        <f t="shared" si="49"/>
        <v>0</v>
      </c>
      <c r="AL95" s="40"/>
      <c r="AM95" s="40"/>
      <c r="AN95" s="34">
        <f t="shared" si="50"/>
        <v>0</v>
      </c>
      <c r="AO95" s="34">
        <f t="shared" si="51"/>
        <v>0</v>
      </c>
      <c r="AP95" s="34">
        <f t="shared" si="52"/>
        <v>0</v>
      </c>
      <c r="AR95" s="34">
        <f t="shared" si="53"/>
        <v>0</v>
      </c>
      <c r="AS95" s="34"/>
      <c r="AT95" s="29">
        <f>+VLOOKUP(C95,dotpop24!$A$10:$K$178,11,0)</f>
        <v>1844049.83</v>
      </c>
      <c r="AU95" s="29">
        <f t="shared" si="54"/>
        <v>22488.412560975612</v>
      </c>
      <c r="AV95" s="29">
        <f t="shared" si="57"/>
        <v>11244.206280487806</v>
      </c>
      <c r="AW95" s="29">
        <f t="shared" si="55"/>
        <v>0</v>
      </c>
    </row>
    <row r="96" spans="1:49">
      <c r="A96" s="1" t="s">
        <v>30</v>
      </c>
      <c r="B96" s="1" t="s">
        <v>30</v>
      </c>
      <c r="C96" s="97">
        <v>340027887</v>
      </c>
      <c r="D96" s="1" t="s">
        <v>126</v>
      </c>
      <c r="E96" s="1" t="s">
        <v>25</v>
      </c>
      <c r="F96" s="44">
        <v>39512</v>
      </c>
      <c r="G96" s="44">
        <v>35953</v>
      </c>
      <c r="H96" s="44">
        <v>3559</v>
      </c>
      <c r="I96" s="45">
        <v>0.35299999999999998</v>
      </c>
      <c r="J96" s="45">
        <v>66.540000000000006</v>
      </c>
      <c r="K96" s="45">
        <v>9.4</v>
      </c>
      <c r="L96" s="45">
        <v>3.91</v>
      </c>
      <c r="M96" s="45">
        <v>1.51</v>
      </c>
      <c r="N96" s="35">
        <v>34</v>
      </c>
      <c r="O96" s="35" t="s">
        <v>26</v>
      </c>
      <c r="P96" s="35">
        <v>111</v>
      </c>
      <c r="Q96" s="35">
        <v>40</v>
      </c>
      <c r="R96" s="225">
        <f t="shared" si="56"/>
        <v>0.88739972849561888</v>
      </c>
      <c r="S96" s="225">
        <f>+H96/(Q96*365)</f>
        <v>0.24376712328767122</v>
      </c>
      <c r="T96" s="225"/>
      <c r="U96" s="78">
        <f t="shared" si="39"/>
        <v>1.3986301369863015</v>
      </c>
      <c r="V96" s="78">
        <f t="shared" si="40"/>
        <v>28.24931506849315</v>
      </c>
      <c r="W96" s="36">
        <f t="shared" si="41"/>
        <v>111</v>
      </c>
      <c r="X96" s="36">
        <f t="shared" si="42"/>
        <v>40</v>
      </c>
      <c r="Y96" s="40">
        <f>IF(B96="Public", 'synthèse v2'!$F$62/1000, IF(B96="Privé non lucratif",'synthèse v2'!$F$61/1000, IF(B96="Privé", 'synthèse v2'!$F$60/1000, "")))</f>
        <v>26.522545062955601</v>
      </c>
      <c r="Z96" s="40">
        <f t="shared" si="38"/>
        <v>13.2612725314778</v>
      </c>
      <c r="AA96" s="40">
        <f t="shared" si="43"/>
        <v>1.3986301369863015</v>
      </c>
      <c r="AB96" s="40">
        <f t="shared" si="44"/>
        <v>28.24931506849315</v>
      </c>
      <c r="AC96" s="34">
        <f t="shared" si="45"/>
        <v>37.095230834626946</v>
      </c>
      <c r="AD96" s="34">
        <f t="shared" si="46"/>
        <v>374.62186595087013</v>
      </c>
      <c r="AE96" s="34">
        <f t="shared" si="47"/>
        <v>411.71709678549706</v>
      </c>
      <c r="AF96" s="36">
        <v>0</v>
      </c>
      <c r="AG96" s="36">
        <v>0</v>
      </c>
      <c r="AH96" s="39">
        <v>0</v>
      </c>
      <c r="AI96" s="39">
        <v>0</v>
      </c>
      <c r="AJ96" s="36">
        <f t="shared" si="48"/>
        <v>0</v>
      </c>
      <c r="AK96" s="36">
        <f t="shared" si="49"/>
        <v>0</v>
      </c>
      <c r="AL96" s="40"/>
      <c r="AM96" s="40"/>
      <c r="AN96" s="34">
        <f t="shared" si="50"/>
        <v>0</v>
      </c>
      <c r="AO96" s="34">
        <f t="shared" si="51"/>
        <v>0</v>
      </c>
      <c r="AP96" s="34">
        <f t="shared" si="52"/>
        <v>0</v>
      </c>
      <c r="AR96" s="34">
        <f t="shared" si="53"/>
        <v>411.71709678549706</v>
      </c>
      <c r="AS96" s="34"/>
      <c r="AT96" s="29">
        <f>+VLOOKUP(C96,dotpop24!$A$10:$K$178,11,0)</f>
        <v>4010328.34</v>
      </c>
      <c r="AU96" s="29">
        <f t="shared" si="54"/>
        <v>30613.193435114503</v>
      </c>
      <c r="AV96" s="29">
        <f t="shared" si="57"/>
        <v>15306.596717557251</v>
      </c>
      <c r="AW96" s="29">
        <f t="shared" si="55"/>
        <v>475217.4082283802</v>
      </c>
    </row>
    <row r="97" spans="1:49">
      <c r="A97" s="1" t="s">
        <v>22</v>
      </c>
      <c r="B97" s="1" t="s">
        <v>23</v>
      </c>
      <c r="C97" s="97">
        <v>340780055</v>
      </c>
      <c r="D97" s="1" t="s">
        <v>127</v>
      </c>
      <c r="E97" s="1" t="s">
        <v>25</v>
      </c>
      <c r="F97" s="44">
        <v>17686</v>
      </c>
      <c r="G97" s="44">
        <v>17686</v>
      </c>
      <c r="H97" s="44">
        <v>0</v>
      </c>
      <c r="I97" s="45">
        <v>0.46899999999999997</v>
      </c>
      <c r="J97" s="45">
        <v>80.010000000000005</v>
      </c>
      <c r="K97" s="45">
        <v>9.7100000000000009</v>
      </c>
      <c r="L97" s="45">
        <v>3.47</v>
      </c>
      <c r="M97" s="45">
        <v>1.1499999999999999</v>
      </c>
      <c r="N97" s="35">
        <v>34</v>
      </c>
      <c r="O97" s="35" t="s">
        <v>26</v>
      </c>
      <c r="P97" s="35">
        <v>57</v>
      </c>
      <c r="Q97" s="35">
        <v>0</v>
      </c>
      <c r="R97" s="225">
        <f t="shared" si="56"/>
        <v>0.85008411439557796</v>
      </c>
      <c r="S97" s="225"/>
      <c r="T97" s="225"/>
      <c r="U97" s="78">
        <f t="shared" si="39"/>
        <v>2.8452054794520549</v>
      </c>
      <c r="V97" s="78">
        <f t="shared" si="40"/>
        <v>0</v>
      </c>
      <c r="W97" s="36">
        <f t="shared" si="41"/>
        <v>57</v>
      </c>
      <c r="X97" s="36">
        <f t="shared" si="42"/>
        <v>0</v>
      </c>
      <c r="Y97" s="40">
        <f>IF(B97="Public", 'synthèse v2'!$F$62/1000, IF(B97="Privé non lucratif",'synthèse v2'!$F$61/1000, IF(B97="Privé", 'synthèse v2'!$F$60/1000, "")))</f>
        <v>43.762959354365371</v>
      </c>
      <c r="Z97" s="40">
        <f t="shared" si="38"/>
        <v>21.881479677182686</v>
      </c>
      <c r="AA97" s="40">
        <f t="shared" si="43"/>
        <v>2.8452054794520549</v>
      </c>
      <c r="AB97" s="40">
        <f t="shared" si="44"/>
        <v>0</v>
      </c>
      <c r="AC97" s="34">
        <f t="shared" si="45"/>
        <v>124.51461175207791</v>
      </c>
      <c r="AD97" s="34">
        <f t="shared" si="46"/>
        <v>0</v>
      </c>
      <c r="AE97" s="34">
        <f t="shared" si="47"/>
        <v>124.51461175207791</v>
      </c>
      <c r="AF97" s="36">
        <v>0</v>
      </c>
      <c r="AG97" s="36">
        <v>0</v>
      </c>
      <c r="AH97" s="39">
        <v>0</v>
      </c>
      <c r="AI97" s="39">
        <v>0</v>
      </c>
      <c r="AJ97" s="36">
        <f t="shared" si="48"/>
        <v>0</v>
      </c>
      <c r="AK97" s="36">
        <f t="shared" si="49"/>
        <v>0</v>
      </c>
      <c r="AL97" s="40"/>
      <c r="AM97" s="40"/>
      <c r="AN97" s="34">
        <f t="shared" si="50"/>
        <v>0</v>
      </c>
      <c r="AO97" s="34">
        <f t="shared" si="51"/>
        <v>0</v>
      </c>
      <c r="AP97" s="34">
        <f t="shared" si="52"/>
        <v>0</v>
      </c>
      <c r="AR97" s="34">
        <f t="shared" si="53"/>
        <v>124.51461175207791</v>
      </c>
      <c r="AS97" s="34"/>
      <c r="AT97" s="29">
        <f>+VLOOKUP(C97,dotpop24!$A$10:$K$178,11,0)</f>
        <v>2006810.78</v>
      </c>
      <c r="AU97" s="29">
        <f t="shared" si="54"/>
        <v>35207.206666666665</v>
      </c>
      <c r="AV97" s="29">
        <f t="shared" si="57"/>
        <v>17603.603333333333</v>
      </c>
      <c r="AW97" s="29">
        <f t="shared" si="55"/>
        <v>100171.73732420092</v>
      </c>
    </row>
    <row r="98" spans="1:49">
      <c r="A98" s="1" t="s">
        <v>30</v>
      </c>
      <c r="B98" s="1" t="s">
        <v>30</v>
      </c>
      <c r="C98" s="97">
        <v>340780196</v>
      </c>
      <c r="D98" s="1" t="s">
        <v>128</v>
      </c>
      <c r="E98" s="1" t="s">
        <v>25</v>
      </c>
      <c r="F98" s="44">
        <v>37245</v>
      </c>
      <c r="G98" s="44">
        <v>25860</v>
      </c>
      <c r="H98" s="44">
        <v>11385</v>
      </c>
      <c r="I98" s="45">
        <v>0.436</v>
      </c>
      <c r="J98" s="45">
        <v>67.7</v>
      </c>
      <c r="K98" s="45">
        <v>7.49</v>
      </c>
      <c r="L98" s="45">
        <v>2.0699999999999998</v>
      </c>
      <c r="M98" s="45">
        <v>4.5599999999999996</v>
      </c>
      <c r="N98" s="35">
        <v>34</v>
      </c>
      <c r="O98" s="35" t="s">
        <v>26</v>
      </c>
      <c r="P98" s="35">
        <v>80</v>
      </c>
      <c r="Q98" s="35">
        <v>60</v>
      </c>
      <c r="R98" s="225">
        <f t="shared" si="56"/>
        <v>0.88561643835616444</v>
      </c>
      <c r="S98" s="225">
        <f>+H98/(Q98*365)</f>
        <v>0.51986301369863008</v>
      </c>
      <c r="T98" s="225"/>
      <c r="U98" s="78">
        <f t="shared" si="39"/>
        <v>1.1506849315068493</v>
      </c>
      <c r="V98" s="78">
        <f t="shared" si="40"/>
        <v>25.808219178082197</v>
      </c>
      <c r="W98" s="36">
        <f t="shared" si="41"/>
        <v>80</v>
      </c>
      <c r="X98" s="36">
        <f t="shared" si="42"/>
        <v>60</v>
      </c>
      <c r="Y98" s="40">
        <f>IF(B98="Public", 'synthèse v2'!$F$62/1000, IF(B98="Privé non lucratif",'synthèse v2'!$F$61/1000, IF(B98="Privé", 'synthèse v2'!$F$60/1000, "")))</f>
        <v>26.522545062955601</v>
      </c>
      <c r="Z98" s="40">
        <f t="shared" si="38"/>
        <v>13.2612725314778</v>
      </c>
      <c r="AA98" s="40">
        <f t="shared" si="43"/>
        <v>1.1506849315068493</v>
      </c>
      <c r="AB98" s="40">
        <f t="shared" si="44"/>
        <v>25.808219178082197</v>
      </c>
      <c r="AC98" s="34">
        <f t="shared" si="45"/>
        <v>30.519092949154388</v>
      </c>
      <c r="AD98" s="34">
        <f t="shared" si="46"/>
        <v>342.24982807266002</v>
      </c>
      <c r="AE98" s="34">
        <f t="shared" si="47"/>
        <v>372.76892102181444</v>
      </c>
      <c r="AF98" s="36">
        <v>0</v>
      </c>
      <c r="AG98" s="36">
        <v>0</v>
      </c>
      <c r="AH98" s="39">
        <v>0</v>
      </c>
      <c r="AI98" s="39">
        <v>0</v>
      </c>
      <c r="AJ98" s="36">
        <f t="shared" si="48"/>
        <v>0</v>
      </c>
      <c r="AK98" s="36">
        <f t="shared" si="49"/>
        <v>0</v>
      </c>
      <c r="AL98" s="40"/>
      <c r="AM98" s="40"/>
      <c r="AN98" s="34">
        <f t="shared" si="50"/>
        <v>0</v>
      </c>
      <c r="AO98" s="34">
        <f t="shared" si="51"/>
        <v>0</v>
      </c>
      <c r="AP98" s="34">
        <f t="shared" si="52"/>
        <v>0</v>
      </c>
      <c r="AR98" s="34">
        <f t="shared" si="53"/>
        <v>372.76892102181444</v>
      </c>
      <c r="AS98" s="34"/>
      <c r="AT98" s="29">
        <f>+VLOOKUP(C98,dotpop24!$A$10:$K$178,11,0)</f>
        <v>2763984</v>
      </c>
      <c r="AU98" s="29">
        <f t="shared" si="54"/>
        <v>25127.127272727274</v>
      </c>
      <c r="AV98" s="29">
        <f t="shared" si="57"/>
        <v>12563.563636363637</v>
      </c>
      <c r="AW98" s="29">
        <f t="shared" si="55"/>
        <v>353156.61070983822</v>
      </c>
    </row>
    <row r="99" spans="1:49">
      <c r="A99" s="1" t="s">
        <v>30</v>
      </c>
      <c r="B99" s="1" t="s">
        <v>30</v>
      </c>
      <c r="C99" s="97">
        <v>340780212</v>
      </c>
      <c r="D99" s="219" t="s">
        <v>1532</v>
      </c>
      <c r="E99" s="1" t="s">
        <v>25</v>
      </c>
      <c r="F99" s="214">
        <v>65886</v>
      </c>
      <c r="G99" s="214">
        <v>59913</v>
      </c>
      <c r="H99" s="214">
        <v>5973</v>
      </c>
      <c r="I99" s="215">
        <v>0.55700000000000005</v>
      </c>
      <c r="J99" s="215">
        <v>58.25</v>
      </c>
      <c r="K99" s="215">
        <v>7.09</v>
      </c>
      <c r="L99" s="215">
        <v>3.07</v>
      </c>
      <c r="M99" s="215">
        <v>3.78</v>
      </c>
      <c r="N99" s="35">
        <v>34</v>
      </c>
      <c r="O99" s="35" t="s">
        <v>26</v>
      </c>
      <c r="P99" s="218">
        <v>187</v>
      </c>
      <c r="Q99" s="218">
        <v>40</v>
      </c>
      <c r="R99" s="225">
        <f>(G99-(AF99*365*AH99))/(W99*365)</f>
        <v>0.87678885742710644</v>
      </c>
      <c r="S99" s="225">
        <f>(H99-(AG99*365*AI99))/(X99*365)</f>
        <v>0.22881278538812785</v>
      </c>
      <c r="T99" s="227" t="s">
        <v>661</v>
      </c>
      <c r="U99" s="78">
        <f t="shared" si="39"/>
        <v>4.1547945205479451</v>
      </c>
      <c r="V99" s="78">
        <f t="shared" si="40"/>
        <v>21.635616438356163</v>
      </c>
      <c r="W99" s="220">
        <f t="shared" si="41"/>
        <v>179</v>
      </c>
      <c r="X99" s="220">
        <f t="shared" si="42"/>
        <v>30</v>
      </c>
      <c r="Y99" s="40">
        <f>IF(B99="Public", 'synthèse v2'!$F$62/1000, IF(B99="Privé non lucratif",'synthèse v2'!$F$61/1000, IF(B99="Privé", 'synthèse v2'!$F$60/1000, "")))</f>
        <v>26.522545062955601</v>
      </c>
      <c r="Z99" s="40">
        <f t="shared" si="38"/>
        <v>13.2612725314778</v>
      </c>
      <c r="AA99" s="40">
        <f t="shared" si="43"/>
        <v>4.1547945205479451</v>
      </c>
      <c r="AB99" s="40">
        <f t="shared" si="44"/>
        <v>21.635616438356163</v>
      </c>
      <c r="AC99" s="34">
        <f t="shared" si="45"/>
        <v>110.19572489855388</v>
      </c>
      <c r="AD99" s="34">
        <f t="shared" si="46"/>
        <v>286.91580597556214</v>
      </c>
      <c r="AE99" s="34">
        <f t="shared" si="47"/>
        <v>397.111530874116</v>
      </c>
      <c r="AF99" s="220">
        <v>8</v>
      </c>
      <c r="AG99" s="220">
        <v>10</v>
      </c>
      <c r="AH99" s="39">
        <f>AJ2</f>
        <v>0.9</v>
      </c>
      <c r="AI99" s="39">
        <f>AK2</f>
        <v>0.95</v>
      </c>
      <c r="AJ99" s="36">
        <f t="shared" si="48"/>
        <v>0</v>
      </c>
      <c r="AK99" s="36">
        <f t="shared" si="49"/>
        <v>0</v>
      </c>
      <c r="AL99" s="40">
        <v>22</v>
      </c>
      <c r="AM99" s="40">
        <v>11</v>
      </c>
      <c r="AN99" s="34">
        <f t="shared" si="50"/>
        <v>0</v>
      </c>
      <c r="AO99" s="34">
        <f t="shared" si="51"/>
        <v>0</v>
      </c>
      <c r="AP99" s="34">
        <f t="shared" si="52"/>
        <v>0</v>
      </c>
      <c r="AR99" s="34">
        <f t="shared" si="53"/>
        <v>397.111530874116</v>
      </c>
      <c r="AS99" s="34"/>
      <c r="AT99" s="29">
        <f>+VLOOKUP(C99,dotpop24!$A$10:$K$178,11,0)</f>
        <v>8793272.1300000008</v>
      </c>
      <c r="AU99" s="29">
        <f t="shared" si="54"/>
        <v>42479.57550724638</v>
      </c>
      <c r="AV99" s="29">
        <f t="shared" si="57"/>
        <v>21239.78775362319</v>
      </c>
      <c r="AW99" s="29">
        <f t="shared" si="55"/>
        <v>636029.80862219573</v>
      </c>
    </row>
    <row r="100" spans="1:49">
      <c r="A100" s="1" t="s">
        <v>30</v>
      </c>
      <c r="B100" s="1" t="s">
        <v>30</v>
      </c>
      <c r="C100" s="97">
        <v>340780253</v>
      </c>
      <c r="D100" s="1" t="s">
        <v>130</v>
      </c>
      <c r="E100" s="1" t="s">
        <v>25</v>
      </c>
      <c r="F100" s="44">
        <v>18066</v>
      </c>
      <c r="G100" s="44">
        <v>18066</v>
      </c>
      <c r="H100" s="44">
        <v>0</v>
      </c>
      <c r="I100" s="45">
        <v>0.42599999999999999</v>
      </c>
      <c r="J100" s="45">
        <v>80.17</v>
      </c>
      <c r="K100" s="45">
        <v>9.2799999999999994</v>
      </c>
      <c r="L100" s="45">
        <v>3.69</v>
      </c>
      <c r="M100" s="45">
        <v>2.16</v>
      </c>
      <c r="N100" s="35">
        <v>34</v>
      </c>
      <c r="O100" s="35" t="s">
        <v>26</v>
      </c>
      <c r="P100" s="35">
        <v>56</v>
      </c>
      <c r="Q100" s="35">
        <v>0</v>
      </c>
      <c r="R100" s="225">
        <f t="shared" si="56"/>
        <v>0.88385518590998047</v>
      </c>
      <c r="S100" s="225"/>
      <c r="T100" s="225"/>
      <c r="U100" s="78">
        <f t="shared" si="39"/>
        <v>0.90410958904109584</v>
      </c>
      <c r="V100" s="78">
        <f t="shared" si="40"/>
        <v>0</v>
      </c>
      <c r="W100" s="36">
        <f t="shared" si="41"/>
        <v>56</v>
      </c>
      <c r="X100" s="36">
        <f t="shared" si="42"/>
        <v>0</v>
      </c>
      <c r="Y100" s="40">
        <f>IF(B100="Public", 'synthèse v2'!$F$62/1000, IF(B100="Privé non lucratif",'synthèse v2'!$F$61/1000, IF(B100="Privé", 'synthèse v2'!$F$60/1000, "")))</f>
        <v>26.522545062955601</v>
      </c>
      <c r="Z100" s="40">
        <f t="shared" si="38"/>
        <v>13.2612725314778</v>
      </c>
      <c r="AA100" s="40">
        <f t="shared" si="43"/>
        <v>0.90410958904109584</v>
      </c>
      <c r="AB100" s="40">
        <f t="shared" si="44"/>
        <v>0</v>
      </c>
      <c r="AC100" s="34">
        <f t="shared" si="45"/>
        <v>23.979287317192732</v>
      </c>
      <c r="AD100" s="34">
        <f t="shared" si="46"/>
        <v>0</v>
      </c>
      <c r="AE100" s="34">
        <f t="shared" si="47"/>
        <v>23.979287317192732</v>
      </c>
      <c r="AF100" s="36">
        <v>0</v>
      </c>
      <c r="AG100" s="36">
        <v>0</v>
      </c>
      <c r="AH100" s="39">
        <v>0</v>
      </c>
      <c r="AI100" s="39">
        <v>0</v>
      </c>
      <c r="AJ100" s="36">
        <f t="shared" si="48"/>
        <v>0</v>
      </c>
      <c r="AK100" s="36">
        <f t="shared" si="49"/>
        <v>0</v>
      </c>
      <c r="AL100" s="40"/>
      <c r="AM100" s="40"/>
      <c r="AN100" s="34">
        <f t="shared" si="50"/>
        <v>0</v>
      </c>
      <c r="AO100" s="34">
        <f t="shared" si="51"/>
        <v>0</v>
      </c>
      <c r="AP100" s="34">
        <f t="shared" si="52"/>
        <v>0</v>
      </c>
      <c r="AR100" s="34">
        <f t="shared" si="53"/>
        <v>23.979287317192732</v>
      </c>
      <c r="AS100" s="34"/>
      <c r="AT100" s="29">
        <f>+VLOOKUP(C100,dotpop24!$A$10:$K$178,11,0)</f>
        <v>1332557.55</v>
      </c>
      <c r="AU100" s="29">
        <f t="shared" si="54"/>
        <v>23795.670535714286</v>
      </c>
      <c r="AV100" s="29">
        <f t="shared" si="57"/>
        <v>11897.835267857143</v>
      </c>
      <c r="AW100" s="29">
        <f t="shared" si="55"/>
        <v>21513.893909001956</v>
      </c>
    </row>
    <row r="101" spans="1:49">
      <c r="A101" s="1" t="s">
        <v>22</v>
      </c>
      <c r="B101" s="1" t="s">
        <v>23</v>
      </c>
      <c r="C101" s="97">
        <v>340780469</v>
      </c>
      <c r="D101" s="1" t="s">
        <v>131</v>
      </c>
      <c r="E101" s="1" t="s">
        <v>25</v>
      </c>
      <c r="F101" s="44">
        <v>12654</v>
      </c>
      <c r="G101" s="44">
        <v>12654</v>
      </c>
      <c r="H101" s="44">
        <v>0</v>
      </c>
      <c r="I101" s="45">
        <v>0.57099999999999995</v>
      </c>
      <c r="J101" s="45">
        <v>65.88</v>
      </c>
      <c r="K101" s="45">
        <v>8.4</v>
      </c>
      <c r="L101" s="45">
        <v>4.0999999999999996</v>
      </c>
      <c r="M101" s="45">
        <v>1.38</v>
      </c>
      <c r="N101" s="35">
        <v>34</v>
      </c>
      <c r="O101" s="35" t="s">
        <v>26</v>
      </c>
      <c r="P101" s="35">
        <v>45</v>
      </c>
      <c r="Q101" s="35">
        <v>0</v>
      </c>
      <c r="R101" s="225">
        <f t="shared" si="56"/>
        <v>0.7704109589041096</v>
      </c>
      <c r="S101" s="225"/>
      <c r="T101" s="225"/>
      <c r="U101" s="78">
        <f t="shared" ref="U101:U132" si="58">AJ101+AA101</f>
        <v>5.8315068493150681</v>
      </c>
      <c r="V101" s="78">
        <f t="shared" ref="V101:V132" si="59">AK101+AB101</f>
        <v>0</v>
      </c>
      <c r="W101" s="36">
        <f t="shared" ref="W101:W132" si="60">IFERROR(
   IF(P101 - AF101 &gt; 0,
      P101 - AF101,
      0
   ),
   0
)</f>
        <v>45</v>
      </c>
      <c r="X101" s="36">
        <f t="shared" ref="X101:X132" si="61">IFERROR(
   IF(Q101 - AG101 &gt; 0,
      Q101 - AG101,
      0
   ),
   0
)</f>
        <v>0</v>
      </c>
      <c r="Y101" s="40">
        <f>IF(B101="Public", 'synthèse v2'!$F$62/1000, IF(B101="Privé non lucratif",'synthèse v2'!$F$61/1000, IF(B101="Privé", 'synthèse v2'!$F$60/1000, "")))</f>
        <v>43.762959354365371</v>
      </c>
      <c r="Z101" s="40">
        <f t="shared" si="38"/>
        <v>21.881479677182686</v>
      </c>
      <c r="AA101" s="40">
        <f t="shared" ref="AA101:AA132" si="62">IFERROR(
  IF(
    (((W101*365*$AA$2) - (W101*365*R101)) / 365) &gt; 0,
    ((W101*365*$AA$2) - (W101*365*R101)) / 365,
    0
  ),
  0
)</f>
        <v>5.8315068493150681</v>
      </c>
      <c r="AB101" s="40">
        <f t="shared" ref="AB101:AB132" si="63">IFERROR(
  IF(
    (((X101*365*$AB$2) - (X101*365*S101)) / 365) &gt; 0,
    ((X101*365*$AB$2) - (X101*365*S101)) / 365,
    0
  ),
  0
)</f>
        <v>0</v>
      </c>
      <c r="AC101" s="34">
        <f t="shared" ref="AC101:AC132" si="64">AA101*Y101</f>
        <v>255.2039972212786</v>
      </c>
      <c r="AD101" s="34">
        <f t="shared" ref="AD101:AD132" si="65">AB101*Z101</f>
        <v>0</v>
      </c>
      <c r="AE101" s="34">
        <f t="shared" ref="AE101:AE132" si="66">AC101+AD101</f>
        <v>255.2039972212786</v>
      </c>
      <c r="AF101" s="36">
        <v>0</v>
      </c>
      <c r="AG101" s="36">
        <v>0</v>
      </c>
      <c r="AH101" s="39">
        <v>0</v>
      </c>
      <c r="AI101" s="39">
        <v>0</v>
      </c>
      <c r="AJ101" s="36">
        <f t="shared" ref="AJ101:AJ132" si="67">IF((((AF101*365*$AJ$2) - (AF101*365*AH101)) / 365) &gt; 0,
    ((AF101*365*$AJ$2) - (AF101*365*AH101)) / 365,
    0)</f>
        <v>0</v>
      </c>
      <c r="AK101" s="36">
        <f t="shared" ref="AK101:AK132" si="68">IF(
  (((AG101*365*$AK$2) - (AG101*365*AI101)) / 365) &gt; 0,
  ((AG101*365*$AK$2) - (AG101*365*AI101)) / 365,
  0
)</f>
        <v>0</v>
      </c>
      <c r="AL101" s="40"/>
      <c r="AM101" s="40"/>
      <c r="AN101" s="34">
        <f t="shared" ref="AN101:AN132" si="69">AJ101*AL101</f>
        <v>0</v>
      </c>
      <c r="AO101" s="34">
        <f t="shared" ref="AO101:AO132" si="70">AK101*AM101</f>
        <v>0</v>
      </c>
      <c r="AP101" s="34">
        <f t="shared" ref="AP101:AP132" si="71">AN101 + AO101</f>
        <v>0</v>
      </c>
      <c r="AR101" s="34">
        <f t="shared" ref="AR101:AR132" si="72">AP101+AE101</f>
        <v>255.2039972212786</v>
      </c>
      <c r="AS101" s="34"/>
      <c r="AT101" s="29">
        <f>+VLOOKUP(C101,dotpop24!$A$10:$K$178,11,0)</f>
        <v>1451650.04</v>
      </c>
      <c r="AU101" s="29">
        <f t="shared" ref="AU101:AU132" si="73">+AT101/(P101+Q101*0.5)</f>
        <v>32258.889777777778</v>
      </c>
      <c r="AV101" s="29">
        <f t="shared" si="57"/>
        <v>16129.444888888889</v>
      </c>
      <c r="AW101" s="29">
        <f t="shared" ref="AW101:AW132" si="74">+(AA101*AU101)+(AB101*AV101)</f>
        <v>188117.93669041095</v>
      </c>
    </row>
    <row r="102" spans="1:49">
      <c r="A102" s="1" t="s">
        <v>61</v>
      </c>
      <c r="B102" s="1" t="s">
        <v>23</v>
      </c>
      <c r="C102" s="97">
        <v>340780477</v>
      </c>
      <c r="D102" s="1" t="s">
        <v>132</v>
      </c>
      <c r="E102" s="1" t="s">
        <v>25</v>
      </c>
      <c r="F102" s="44">
        <v>30917</v>
      </c>
      <c r="G102" s="44">
        <v>23713</v>
      </c>
      <c r="H102" s="44">
        <v>7204</v>
      </c>
      <c r="I102" s="45">
        <v>0.38400000000000001</v>
      </c>
      <c r="J102" s="45">
        <v>74.319999999999993</v>
      </c>
      <c r="K102" s="45">
        <v>9.52</v>
      </c>
      <c r="L102" s="45">
        <v>3.75</v>
      </c>
      <c r="M102" s="45">
        <v>2.0299999999999998</v>
      </c>
      <c r="N102" s="35">
        <v>34</v>
      </c>
      <c r="O102" s="35" t="s">
        <v>26</v>
      </c>
      <c r="P102" s="35">
        <v>86</v>
      </c>
      <c r="Q102" s="35">
        <v>21</v>
      </c>
      <c r="R102" s="225">
        <f t="shared" si="56"/>
        <v>0.755431666135712</v>
      </c>
      <c r="S102" s="225">
        <f>+H102/(Q102*365)</f>
        <v>0.93985649054142206</v>
      </c>
      <c r="T102" s="225"/>
      <c r="U102" s="78">
        <f t="shared" si="58"/>
        <v>12.432876712328767</v>
      </c>
      <c r="V102" s="78">
        <f t="shared" si="59"/>
        <v>0.213013698630137</v>
      </c>
      <c r="W102" s="36">
        <f t="shared" si="60"/>
        <v>86</v>
      </c>
      <c r="X102" s="36">
        <f t="shared" si="61"/>
        <v>21</v>
      </c>
      <c r="Y102" s="40">
        <f>IF(B102="Public", 'synthèse v2'!$F$62/1000, IF(B102="Privé non lucratif",'synthèse v2'!$F$61/1000, IF(B102="Privé", 'synthèse v2'!$F$60/1000, "")))</f>
        <v>43.762959354365371</v>
      </c>
      <c r="Z102" s="40">
        <f t="shared" si="38"/>
        <v>21.881479677182686</v>
      </c>
      <c r="AA102" s="40">
        <f t="shared" si="62"/>
        <v>12.432876712328767</v>
      </c>
      <c r="AB102" s="40">
        <f t="shared" si="63"/>
        <v>0.213013698630137</v>
      </c>
      <c r="AC102" s="34">
        <f t="shared" si="64"/>
        <v>544.09947821947958</v>
      </c>
      <c r="AD102" s="34">
        <f t="shared" si="65"/>
        <v>4.6610549175368599</v>
      </c>
      <c r="AE102" s="34">
        <f t="shared" si="66"/>
        <v>548.76053313701641</v>
      </c>
      <c r="AF102" s="36">
        <v>0</v>
      </c>
      <c r="AG102" s="36">
        <v>0</v>
      </c>
      <c r="AH102" s="39">
        <v>0</v>
      </c>
      <c r="AI102" s="39">
        <v>0</v>
      </c>
      <c r="AJ102" s="36">
        <f t="shared" si="67"/>
        <v>0</v>
      </c>
      <c r="AK102" s="36">
        <f t="shared" si="68"/>
        <v>0</v>
      </c>
      <c r="AL102" s="40"/>
      <c r="AM102" s="40"/>
      <c r="AN102" s="34">
        <f t="shared" si="69"/>
        <v>0</v>
      </c>
      <c r="AO102" s="34">
        <f t="shared" si="70"/>
        <v>0</v>
      </c>
      <c r="AP102" s="34">
        <f t="shared" si="71"/>
        <v>0</v>
      </c>
      <c r="AR102" s="34">
        <f t="shared" si="72"/>
        <v>548.76053313701641</v>
      </c>
      <c r="AS102" s="34"/>
      <c r="AT102" s="29">
        <f>+VLOOKUP(C102,dotpop24!$A$10:$K$178,11,0)</f>
        <v>5163128.7300000004</v>
      </c>
      <c r="AU102" s="29">
        <f t="shared" si="73"/>
        <v>53503.924663212441</v>
      </c>
      <c r="AV102" s="29">
        <f t="shared" si="57"/>
        <v>26751.962331606221</v>
      </c>
      <c r="AW102" s="29">
        <f t="shared" si="74"/>
        <v>670906.23340531636</v>
      </c>
    </row>
    <row r="103" spans="1:49">
      <c r="A103" s="1" t="s">
        <v>22</v>
      </c>
      <c r="B103" s="1" t="s">
        <v>23</v>
      </c>
      <c r="C103" s="97">
        <v>340780519</v>
      </c>
      <c r="D103" s="1" t="s">
        <v>133</v>
      </c>
      <c r="E103" s="1" t="s">
        <v>25</v>
      </c>
      <c r="F103" s="44">
        <v>5870</v>
      </c>
      <c r="G103" s="44">
        <v>5870</v>
      </c>
      <c r="H103" s="44">
        <v>0</v>
      </c>
      <c r="I103" s="45">
        <v>0.32</v>
      </c>
      <c r="J103" s="45">
        <v>82.36</v>
      </c>
      <c r="K103" s="45">
        <v>9.61</v>
      </c>
      <c r="L103" s="45">
        <v>3.09</v>
      </c>
      <c r="M103" s="45">
        <v>0.87</v>
      </c>
      <c r="N103" s="35">
        <v>34</v>
      </c>
      <c r="O103" s="35" t="s">
        <v>26</v>
      </c>
      <c r="P103" s="35">
        <v>18</v>
      </c>
      <c r="Q103" s="35">
        <v>0</v>
      </c>
      <c r="R103" s="225">
        <f t="shared" si="56"/>
        <v>0.893455098934551</v>
      </c>
      <c r="S103" s="225"/>
      <c r="T103" s="225"/>
      <c r="U103" s="78">
        <f t="shared" si="58"/>
        <v>0.11780821917808219</v>
      </c>
      <c r="V103" s="78">
        <f t="shared" si="59"/>
        <v>0</v>
      </c>
      <c r="W103" s="36">
        <f t="shared" si="60"/>
        <v>18</v>
      </c>
      <c r="X103" s="36">
        <f t="shared" si="61"/>
        <v>0</v>
      </c>
      <c r="Y103" s="40">
        <f>IF(B103="Public", 'synthèse v2'!$F$62/1000, IF(B103="Privé non lucratif",'synthèse v2'!$F$61/1000, IF(B103="Privé", 'synthèse v2'!$F$60/1000, "")))</f>
        <v>43.762959354365371</v>
      </c>
      <c r="Z103" s="40">
        <f t="shared" si="38"/>
        <v>21.881479677182686</v>
      </c>
      <c r="AA103" s="40">
        <f t="shared" si="62"/>
        <v>0.11780821917808219</v>
      </c>
      <c r="AB103" s="40">
        <f t="shared" si="63"/>
        <v>0</v>
      </c>
      <c r="AC103" s="34">
        <f t="shared" si="64"/>
        <v>5.1556363075005782</v>
      </c>
      <c r="AD103" s="34">
        <f t="shared" si="65"/>
        <v>0</v>
      </c>
      <c r="AE103" s="34">
        <f t="shared" si="66"/>
        <v>5.1556363075005782</v>
      </c>
      <c r="AF103" s="36">
        <v>0</v>
      </c>
      <c r="AG103" s="36">
        <v>0</v>
      </c>
      <c r="AH103" s="39">
        <v>0</v>
      </c>
      <c r="AI103" s="39">
        <v>0</v>
      </c>
      <c r="AJ103" s="36">
        <f t="shared" si="67"/>
        <v>0</v>
      </c>
      <c r="AK103" s="36">
        <f t="shared" si="68"/>
        <v>0</v>
      </c>
      <c r="AL103" s="40"/>
      <c r="AM103" s="40"/>
      <c r="AN103" s="34">
        <f t="shared" si="69"/>
        <v>0</v>
      </c>
      <c r="AO103" s="34">
        <f t="shared" si="70"/>
        <v>0</v>
      </c>
      <c r="AP103" s="34">
        <f t="shared" si="71"/>
        <v>0</v>
      </c>
      <c r="AR103" s="34">
        <f t="shared" si="72"/>
        <v>5.1556363075005782</v>
      </c>
      <c r="AS103" s="34"/>
      <c r="AT103" s="29">
        <f>+VLOOKUP(C103,dotpop24!$A$10:$K$178,11,0)</f>
        <v>657060.18000000005</v>
      </c>
      <c r="AU103" s="29">
        <f t="shared" si="73"/>
        <v>36503.343333333338</v>
      </c>
      <c r="AV103" s="29">
        <f t="shared" si="57"/>
        <v>18251.671666666669</v>
      </c>
      <c r="AW103" s="29">
        <f t="shared" si="74"/>
        <v>4300.3938721461191</v>
      </c>
    </row>
    <row r="104" spans="1:49">
      <c r="A104" s="1" t="s">
        <v>22</v>
      </c>
      <c r="B104" s="1" t="s">
        <v>23</v>
      </c>
      <c r="C104" s="97">
        <v>340780543</v>
      </c>
      <c r="D104" s="1" t="s">
        <v>134</v>
      </c>
      <c r="E104" s="1" t="s">
        <v>25</v>
      </c>
      <c r="F104" s="44">
        <v>6294</v>
      </c>
      <c r="G104" s="44">
        <v>6294</v>
      </c>
      <c r="H104" s="44">
        <v>0</v>
      </c>
      <c r="I104" s="45">
        <v>0.40600000000000003</v>
      </c>
      <c r="J104" s="45">
        <v>79.11</v>
      </c>
      <c r="K104" s="45">
        <v>9.4499999999999993</v>
      </c>
      <c r="L104" s="45">
        <v>3.36</v>
      </c>
      <c r="M104" s="45">
        <v>6.09</v>
      </c>
      <c r="N104" s="35">
        <v>34</v>
      </c>
      <c r="O104" s="35" t="s">
        <v>26</v>
      </c>
      <c r="P104" s="35">
        <v>17</v>
      </c>
      <c r="Q104" s="35">
        <v>0</v>
      </c>
      <c r="R104" s="225">
        <f t="shared" si="56"/>
        <v>1.0143432715551974</v>
      </c>
      <c r="S104" s="225"/>
      <c r="T104" s="225"/>
      <c r="U104" s="78">
        <f t="shared" si="58"/>
        <v>0</v>
      </c>
      <c r="V104" s="78">
        <f t="shared" si="59"/>
        <v>0</v>
      </c>
      <c r="W104" s="36">
        <f t="shared" si="60"/>
        <v>17</v>
      </c>
      <c r="X104" s="36">
        <f t="shared" si="61"/>
        <v>0</v>
      </c>
      <c r="Y104" s="40">
        <f>IF(B104="Public", 'synthèse v2'!$F$62/1000, IF(B104="Privé non lucratif",'synthèse v2'!$F$61/1000, IF(B104="Privé", 'synthèse v2'!$F$60/1000, "")))</f>
        <v>43.762959354365371</v>
      </c>
      <c r="Z104" s="40">
        <f t="shared" si="38"/>
        <v>21.881479677182686</v>
      </c>
      <c r="AA104" s="40">
        <f t="shared" si="62"/>
        <v>0</v>
      </c>
      <c r="AB104" s="40">
        <f t="shared" si="63"/>
        <v>0</v>
      </c>
      <c r="AC104" s="34">
        <f t="shared" si="64"/>
        <v>0</v>
      </c>
      <c r="AD104" s="34">
        <f t="shared" si="65"/>
        <v>0</v>
      </c>
      <c r="AE104" s="34">
        <f t="shared" si="66"/>
        <v>0</v>
      </c>
      <c r="AF104" s="36">
        <v>0</v>
      </c>
      <c r="AG104" s="36">
        <v>0</v>
      </c>
      <c r="AH104" s="39">
        <v>0</v>
      </c>
      <c r="AI104" s="39">
        <v>0</v>
      </c>
      <c r="AJ104" s="36">
        <f t="shared" si="67"/>
        <v>0</v>
      </c>
      <c r="AK104" s="36">
        <f t="shared" si="68"/>
        <v>0</v>
      </c>
      <c r="AL104" s="40"/>
      <c r="AM104" s="40"/>
      <c r="AN104" s="34">
        <f t="shared" si="69"/>
        <v>0</v>
      </c>
      <c r="AO104" s="34">
        <f t="shared" si="70"/>
        <v>0</v>
      </c>
      <c r="AP104" s="34">
        <f t="shared" si="71"/>
        <v>0</v>
      </c>
      <c r="AR104" s="34">
        <f t="shared" si="72"/>
        <v>0</v>
      </c>
      <c r="AS104" s="34"/>
      <c r="AT104" s="29">
        <f>+VLOOKUP(C104,dotpop24!$A$10:$K$178,11,0)</f>
        <v>616123.56000000006</v>
      </c>
      <c r="AU104" s="29">
        <f t="shared" si="73"/>
        <v>36242.562352941182</v>
      </c>
      <c r="AV104" s="29">
        <f t="shared" si="57"/>
        <v>18121.281176470591</v>
      </c>
      <c r="AW104" s="29">
        <f t="shared" si="74"/>
        <v>0</v>
      </c>
    </row>
    <row r="105" spans="1:49">
      <c r="A105" s="1" t="s">
        <v>30</v>
      </c>
      <c r="B105" s="1" t="s">
        <v>30</v>
      </c>
      <c r="C105" s="97">
        <v>340780568</v>
      </c>
      <c r="D105" s="1" t="s">
        <v>135</v>
      </c>
      <c r="E105" s="1" t="s">
        <v>25</v>
      </c>
      <c r="F105" s="44">
        <v>26210</v>
      </c>
      <c r="G105" s="44">
        <v>24275</v>
      </c>
      <c r="H105" s="44">
        <v>1935</v>
      </c>
      <c r="I105" s="45">
        <v>0.49199999999999999</v>
      </c>
      <c r="J105" s="45">
        <v>66.709999999999994</v>
      </c>
      <c r="K105" s="45">
        <v>6.15</v>
      </c>
      <c r="L105" s="45">
        <v>3.62</v>
      </c>
      <c r="M105" s="45">
        <v>2.41</v>
      </c>
      <c r="N105" s="35">
        <v>34</v>
      </c>
      <c r="O105" s="35" t="s">
        <v>26</v>
      </c>
      <c r="P105" s="35">
        <v>50</v>
      </c>
      <c r="Q105" s="35">
        <v>10</v>
      </c>
      <c r="R105" s="225">
        <f t="shared" si="56"/>
        <v>1.3301369863013699</v>
      </c>
      <c r="S105" s="225">
        <f>+H105/(Q105*365)</f>
        <v>0.53013698630136985</v>
      </c>
      <c r="T105" s="225"/>
      <c r="U105" s="78">
        <f t="shared" si="58"/>
        <v>0</v>
      </c>
      <c r="V105" s="78">
        <f t="shared" si="59"/>
        <v>4.1986301369863011</v>
      </c>
      <c r="W105" s="36">
        <f t="shared" si="60"/>
        <v>50</v>
      </c>
      <c r="X105" s="36">
        <f t="shared" si="61"/>
        <v>10</v>
      </c>
      <c r="Y105" s="40">
        <f>IF(B105="Public", 'synthèse v2'!$F$62/1000, IF(B105="Privé non lucratif",'synthèse v2'!$F$61/1000, IF(B105="Privé", 'synthèse v2'!$F$60/1000, "")))</f>
        <v>26.522545062955601</v>
      </c>
      <c r="Z105" s="40">
        <f t="shared" si="38"/>
        <v>13.2612725314778</v>
      </c>
      <c r="AA105" s="40">
        <f t="shared" si="62"/>
        <v>0</v>
      </c>
      <c r="AB105" s="40">
        <f t="shared" si="63"/>
        <v>4.1986301369863011</v>
      </c>
      <c r="AC105" s="34">
        <f t="shared" si="64"/>
        <v>0</v>
      </c>
      <c r="AD105" s="34">
        <f t="shared" si="65"/>
        <v>55.679178505451311</v>
      </c>
      <c r="AE105" s="34">
        <f t="shared" si="66"/>
        <v>55.679178505451311</v>
      </c>
      <c r="AF105" s="36">
        <v>0</v>
      </c>
      <c r="AG105" s="36">
        <v>0</v>
      </c>
      <c r="AH105" s="39">
        <v>0</v>
      </c>
      <c r="AI105" s="39">
        <v>0</v>
      </c>
      <c r="AJ105" s="36">
        <f t="shared" si="67"/>
        <v>0</v>
      </c>
      <c r="AK105" s="36">
        <f t="shared" si="68"/>
        <v>0</v>
      </c>
      <c r="AL105" s="40"/>
      <c r="AM105" s="40"/>
      <c r="AN105" s="34">
        <f t="shared" si="69"/>
        <v>0</v>
      </c>
      <c r="AO105" s="34">
        <f t="shared" si="70"/>
        <v>0</v>
      </c>
      <c r="AP105" s="34">
        <f t="shared" si="71"/>
        <v>0</v>
      </c>
      <c r="AR105" s="34">
        <f t="shared" si="72"/>
        <v>55.679178505451311</v>
      </c>
      <c r="AS105" s="34"/>
      <c r="AT105" s="29">
        <f>+VLOOKUP(C105,dotpop24!$A$10:$K$178,11,0)</f>
        <v>1420599.87</v>
      </c>
      <c r="AU105" s="29">
        <f t="shared" si="73"/>
        <v>25829.088545454546</v>
      </c>
      <c r="AV105" s="29">
        <f t="shared" si="57"/>
        <v>12914.544272727273</v>
      </c>
      <c r="AW105" s="29">
        <f t="shared" si="74"/>
        <v>54223.394788916557</v>
      </c>
    </row>
    <row r="106" spans="1:49">
      <c r="A106" s="1" t="s">
        <v>30</v>
      </c>
      <c r="B106" s="1" t="s">
        <v>34</v>
      </c>
      <c r="C106" s="97">
        <v>340780816</v>
      </c>
      <c r="D106" s="1" t="s">
        <v>136</v>
      </c>
      <c r="E106" s="1" t="s">
        <v>25</v>
      </c>
      <c r="F106" s="44">
        <v>17032</v>
      </c>
      <c r="G106" s="44">
        <v>17032</v>
      </c>
      <c r="H106" s="44">
        <v>0</v>
      </c>
      <c r="I106" s="45">
        <v>0.33800000000000002</v>
      </c>
      <c r="J106" s="45">
        <v>82.95</v>
      </c>
      <c r="K106" s="45">
        <v>10.130000000000001</v>
      </c>
      <c r="L106" s="45">
        <v>3.47</v>
      </c>
      <c r="M106" s="45">
        <v>1.1200000000000001</v>
      </c>
      <c r="N106" s="35">
        <v>34</v>
      </c>
      <c r="O106" s="35" t="s">
        <v>26</v>
      </c>
      <c r="P106" s="35">
        <v>107</v>
      </c>
      <c r="Q106" s="35">
        <v>0</v>
      </c>
      <c r="R106" s="225">
        <f t="shared" si="56"/>
        <v>0.43610293176289849</v>
      </c>
      <c r="S106" s="225"/>
      <c r="T106" s="225"/>
      <c r="U106" s="78">
        <f t="shared" si="58"/>
        <v>49.636986301369866</v>
      </c>
      <c r="V106" s="78">
        <f t="shared" si="59"/>
        <v>0</v>
      </c>
      <c r="W106" s="36">
        <f t="shared" si="60"/>
        <v>107</v>
      </c>
      <c r="X106" s="36">
        <f t="shared" si="61"/>
        <v>0</v>
      </c>
      <c r="Y106" s="40">
        <f>IF(B106="Public", 'synthèse v2'!$F$62/1000, IF(B106="Privé non lucratif",'synthèse v2'!$F$61/1000, IF(B106="Privé", 'synthèse v2'!$F$60/1000, "")))</f>
        <v>36.984345997610518</v>
      </c>
      <c r="Z106" s="40">
        <f t="shared" si="38"/>
        <v>18.492172998805259</v>
      </c>
      <c r="AA106" s="40">
        <f t="shared" si="62"/>
        <v>49.636986301369866</v>
      </c>
      <c r="AB106" s="40">
        <f t="shared" si="63"/>
        <v>0</v>
      </c>
      <c r="AC106" s="34">
        <f t="shared" si="64"/>
        <v>1835.7914756485168</v>
      </c>
      <c r="AD106" s="34">
        <f t="shared" si="65"/>
        <v>0</v>
      </c>
      <c r="AE106" s="34">
        <f t="shared" si="66"/>
        <v>1835.7914756485168</v>
      </c>
      <c r="AF106" s="36">
        <v>0</v>
      </c>
      <c r="AG106" s="36">
        <v>0</v>
      </c>
      <c r="AH106" s="39">
        <v>0</v>
      </c>
      <c r="AI106" s="39">
        <v>0</v>
      </c>
      <c r="AJ106" s="36">
        <f t="shared" si="67"/>
        <v>0</v>
      </c>
      <c r="AK106" s="36">
        <f t="shared" si="68"/>
        <v>0</v>
      </c>
      <c r="AL106" s="40"/>
      <c r="AM106" s="40"/>
      <c r="AN106" s="34">
        <f t="shared" si="69"/>
        <v>0</v>
      </c>
      <c r="AO106" s="34">
        <f t="shared" si="70"/>
        <v>0</v>
      </c>
      <c r="AP106" s="34">
        <f t="shared" si="71"/>
        <v>0</v>
      </c>
      <c r="AR106" s="34">
        <f t="shared" si="72"/>
        <v>1835.7914756485168</v>
      </c>
      <c r="AS106" s="34"/>
      <c r="AT106" s="29">
        <f>+VLOOKUP(C106,dotpop24!$A$10:$K$178,11,0)</f>
        <v>3282282.11</v>
      </c>
      <c r="AU106" s="29">
        <f t="shared" si="73"/>
        <v>30675.533738317758</v>
      </c>
      <c r="AV106" s="29">
        <f t="shared" si="57"/>
        <v>15337.766869158879</v>
      </c>
      <c r="AW106" s="29">
        <f t="shared" si="74"/>
        <v>1522641.0479560876</v>
      </c>
    </row>
    <row r="107" spans="1:49">
      <c r="A107" s="1" t="s">
        <v>30</v>
      </c>
      <c r="B107" s="1" t="s">
        <v>30</v>
      </c>
      <c r="C107" s="97">
        <v>340780857</v>
      </c>
      <c r="D107" s="1" t="s">
        <v>137</v>
      </c>
      <c r="E107" s="1" t="s">
        <v>25</v>
      </c>
      <c r="F107" s="44">
        <v>43822</v>
      </c>
      <c r="G107" s="44">
        <v>32363</v>
      </c>
      <c r="H107" s="44">
        <v>11459</v>
      </c>
      <c r="I107" s="45">
        <v>0.40200000000000002</v>
      </c>
      <c r="J107" s="45">
        <v>67.45</v>
      </c>
      <c r="K107" s="45">
        <v>10.11</v>
      </c>
      <c r="L107" s="45">
        <v>3.59</v>
      </c>
      <c r="M107" s="45">
        <v>3.49</v>
      </c>
      <c r="N107" s="35">
        <v>34</v>
      </c>
      <c r="O107" s="35" t="s">
        <v>26</v>
      </c>
      <c r="P107" s="35">
        <v>106</v>
      </c>
      <c r="Q107" s="35">
        <v>22</v>
      </c>
      <c r="R107" s="225">
        <f t="shared" si="56"/>
        <v>0.83646937193073145</v>
      </c>
      <c r="S107" s="225">
        <f t="shared" ref="S107:S112" si="75">+H107/(Q107*365)</f>
        <v>1.4270236612702367</v>
      </c>
      <c r="T107" s="225"/>
      <c r="U107" s="78">
        <f t="shared" si="58"/>
        <v>6.7342465753424658</v>
      </c>
      <c r="V107" s="78">
        <f t="shared" si="59"/>
        <v>0</v>
      </c>
      <c r="W107" s="36">
        <f t="shared" si="60"/>
        <v>106</v>
      </c>
      <c r="X107" s="36">
        <f t="shared" si="61"/>
        <v>22</v>
      </c>
      <c r="Y107" s="40">
        <f>IF(B107="Public", 'synthèse v2'!$F$62/1000, IF(B107="Privé non lucratif",'synthèse v2'!$F$61/1000, IF(B107="Privé", 'synthèse v2'!$F$60/1000, "")))</f>
        <v>26.522545062955601</v>
      </c>
      <c r="Z107" s="40">
        <f t="shared" si="38"/>
        <v>13.2612725314778</v>
      </c>
      <c r="AA107" s="40">
        <f t="shared" si="62"/>
        <v>6.7342465753424658</v>
      </c>
      <c r="AB107" s="40">
        <f t="shared" si="63"/>
        <v>0</v>
      </c>
      <c r="AC107" s="34">
        <f t="shared" si="64"/>
        <v>178.60935825957498</v>
      </c>
      <c r="AD107" s="34">
        <f t="shared" si="65"/>
        <v>0</v>
      </c>
      <c r="AE107" s="34">
        <f t="shared" si="66"/>
        <v>178.60935825957498</v>
      </c>
      <c r="AF107" s="36">
        <v>0</v>
      </c>
      <c r="AG107" s="36">
        <v>0</v>
      </c>
      <c r="AH107" s="39">
        <v>0</v>
      </c>
      <c r="AI107" s="39">
        <v>0</v>
      </c>
      <c r="AJ107" s="36">
        <f t="shared" si="67"/>
        <v>0</v>
      </c>
      <c r="AK107" s="36">
        <f t="shared" si="68"/>
        <v>0</v>
      </c>
      <c r="AL107" s="40"/>
      <c r="AM107" s="40"/>
      <c r="AN107" s="34">
        <f t="shared" si="69"/>
        <v>0</v>
      </c>
      <c r="AO107" s="34">
        <f t="shared" si="70"/>
        <v>0</v>
      </c>
      <c r="AP107" s="34">
        <f t="shared" si="71"/>
        <v>0</v>
      </c>
      <c r="AR107" s="34">
        <f t="shared" si="72"/>
        <v>178.60935825957498</v>
      </c>
      <c r="AS107" s="34"/>
      <c r="AT107" s="29">
        <f>+VLOOKUP(C107,dotpop24!$A$10:$K$178,11,0)</f>
        <v>2920699</v>
      </c>
      <c r="AU107" s="29">
        <f t="shared" si="73"/>
        <v>24963.239316239316</v>
      </c>
      <c r="AV107" s="29">
        <f t="shared" si="57"/>
        <v>12481.619658119658</v>
      </c>
      <c r="AW107" s="29">
        <f t="shared" si="74"/>
        <v>168108.608874839</v>
      </c>
    </row>
    <row r="108" spans="1:49">
      <c r="A108" s="1" t="s">
        <v>33</v>
      </c>
      <c r="B108" s="1" t="s">
        <v>34</v>
      </c>
      <c r="C108" s="97">
        <v>340781608</v>
      </c>
      <c r="D108" s="1" t="s">
        <v>138</v>
      </c>
      <c r="E108" s="1" t="s">
        <v>25</v>
      </c>
      <c r="F108" s="44">
        <v>17990</v>
      </c>
      <c r="G108" s="44">
        <v>14408</v>
      </c>
      <c r="H108" s="44">
        <v>3582</v>
      </c>
      <c r="I108" s="45">
        <v>0.41899999999999998</v>
      </c>
      <c r="J108" s="45">
        <v>77.72</v>
      </c>
      <c r="K108" s="45">
        <v>8.84</v>
      </c>
      <c r="L108" s="45">
        <v>3.28</v>
      </c>
      <c r="M108" s="45">
        <v>1.91</v>
      </c>
      <c r="N108" s="35">
        <v>34</v>
      </c>
      <c r="O108" s="35" t="s">
        <v>26</v>
      </c>
      <c r="P108" s="35">
        <v>60</v>
      </c>
      <c r="Q108" s="35">
        <v>13</v>
      </c>
      <c r="R108" s="225">
        <f t="shared" si="56"/>
        <v>0.65789954337899548</v>
      </c>
      <c r="S108" s="225">
        <f t="shared" si="75"/>
        <v>0.754899894625922</v>
      </c>
      <c r="T108" s="225"/>
      <c r="U108" s="78">
        <f t="shared" si="58"/>
        <v>14.526027397260268</v>
      </c>
      <c r="V108" s="78">
        <f t="shared" si="59"/>
        <v>2.5363013698630139</v>
      </c>
      <c r="W108" s="36">
        <f t="shared" si="60"/>
        <v>60</v>
      </c>
      <c r="X108" s="36">
        <f t="shared" si="61"/>
        <v>13</v>
      </c>
      <c r="Y108" s="40">
        <f>IF(B108="Public", 'synthèse v2'!$F$62/1000, IF(B108="Privé non lucratif",'synthèse v2'!$F$61/1000, IF(B108="Privé", 'synthèse v2'!$F$60/1000, "")))</f>
        <v>36.984345997610518</v>
      </c>
      <c r="Z108" s="40">
        <f t="shared" si="38"/>
        <v>18.492172998805259</v>
      </c>
      <c r="AA108" s="40">
        <f t="shared" si="62"/>
        <v>14.526027397260268</v>
      </c>
      <c r="AB108" s="40">
        <f t="shared" si="63"/>
        <v>2.5363013698630139</v>
      </c>
      <c r="AC108" s="34">
        <f t="shared" si="64"/>
        <v>537.23562323104352</v>
      </c>
      <c r="AD108" s="34">
        <f t="shared" si="65"/>
        <v>46.901723708613616</v>
      </c>
      <c r="AE108" s="34">
        <f t="shared" si="66"/>
        <v>584.13734693965716</v>
      </c>
      <c r="AF108" s="36">
        <v>0</v>
      </c>
      <c r="AG108" s="36">
        <v>0</v>
      </c>
      <c r="AH108" s="39">
        <v>0</v>
      </c>
      <c r="AI108" s="39">
        <v>0</v>
      </c>
      <c r="AJ108" s="36">
        <f t="shared" si="67"/>
        <v>0</v>
      </c>
      <c r="AK108" s="36">
        <f t="shared" si="68"/>
        <v>0</v>
      </c>
      <c r="AL108" s="40"/>
      <c r="AM108" s="40"/>
      <c r="AN108" s="34">
        <f t="shared" si="69"/>
        <v>0</v>
      </c>
      <c r="AO108" s="34">
        <f t="shared" si="70"/>
        <v>0</v>
      </c>
      <c r="AP108" s="34">
        <f t="shared" si="71"/>
        <v>0</v>
      </c>
      <c r="AR108" s="34">
        <f t="shared" si="72"/>
        <v>584.13734693965716</v>
      </c>
      <c r="AS108" s="34"/>
      <c r="AT108" s="29">
        <f>+VLOOKUP(C108,dotpop24!$A$10:$K$178,11,0)</f>
        <v>3128806.48</v>
      </c>
      <c r="AU108" s="29">
        <f t="shared" si="73"/>
        <v>47049.7215037594</v>
      </c>
      <c r="AV108" s="29">
        <f t="shared" si="57"/>
        <v>23524.8607518797</v>
      </c>
      <c r="AW108" s="29">
        <f t="shared" si="74"/>
        <v>743111.68014790374</v>
      </c>
    </row>
    <row r="109" spans="1:49">
      <c r="A109" s="1" t="s">
        <v>30</v>
      </c>
      <c r="B109" s="1" t="s">
        <v>30</v>
      </c>
      <c r="C109" s="97">
        <v>340782002</v>
      </c>
      <c r="D109" s="1" t="s">
        <v>139</v>
      </c>
      <c r="E109" s="1" t="s">
        <v>25</v>
      </c>
      <c r="F109" s="44">
        <v>28000</v>
      </c>
      <c r="G109" s="44">
        <v>24165</v>
      </c>
      <c r="H109" s="44">
        <v>3835</v>
      </c>
      <c r="I109" s="45">
        <v>0.44</v>
      </c>
      <c r="J109" s="45">
        <v>73.900000000000006</v>
      </c>
      <c r="K109" s="45">
        <v>11.49</v>
      </c>
      <c r="L109" s="45">
        <v>5.31</v>
      </c>
      <c r="M109" s="45">
        <v>2.76</v>
      </c>
      <c r="N109" s="35">
        <v>34</v>
      </c>
      <c r="O109" s="35" t="s">
        <v>26</v>
      </c>
      <c r="P109" s="35">
        <v>73</v>
      </c>
      <c r="Q109" s="35">
        <v>9</v>
      </c>
      <c r="R109" s="225">
        <f t="shared" si="56"/>
        <v>0.9069243760555451</v>
      </c>
      <c r="S109" s="225">
        <f t="shared" si="75"/>
        <v>1.1674277016742771</v>
      </c>
      <c r="T109" s="225"/>
      <c r="U109" s="78">
        <f t="shared" si="58"/>
        <v>0</v>
      </c>
      <c r="V109" s="78">
        <f t="shared" si="59"/>
        <v>0</v>
      </c>
      <c r="W109" s="36">
        <f t="shared" si="60"/>
        <v>73</v>
      </c>
      <c r="X109" s="36">
        <f t="shared" si="61"/>
        <v>9</v>
      </c>
      <c r="Y109" s="40">
        <f>IF(B109="Public", 'synthèse v2'!$F$62/1000, IF(B109="Privé non lucratif",'synthèse v2'!$F$61/1000, IF(B109="Privé", 'synthèse v2'!$F$60/1000, "")))</f>
        <v>26.522545062955601</v>
      </c>
      <c r="Z109" s="40">
        <f t="shared" si="38"/>
        <v>13.2612725314778</v>
      </c>
      <c r="AA109" s="40">
        <f t="shared" si="62"/>
        <v>0</v>
      </c>
      <c r="AB109" s="40">
        <f t="shared" si="63"/>
        <v>0</v>
      </c>
      <c r="AC109" s="34">
        <f t="shared" si="64"/>
        <v>0</v>
      </c>
      <c r="AD109" s="34">
        <f t="shared" si="65"/>
        <v>0</v>
      </c>
      <c r="AE109" s="34">
        <f t="shared" si="66"/>
        <v>0</v>
      </c>
      <c r="AF109" s="36">
        <v>0</v>
      </c>
      <c r="AG109" s="36">
        <v>0</v>
      </c>
      <c r="AH109" s="39">
        <v>0</v>
      </c>
      <c r="AI109" s="39">
        <v>0</v>
      </c>
      <c r="AJ109" s="36">
        <f t="shared" si="67"/>
        <v>0</v>
      </c>
      <c r="AK109" s="36">
        <f t="shared" si="68"/>
        <v>0</v>
      </c>
      <c r="AL109" s="40"/>
      <c r="AM109" s="40"/>
      <c r="AN109" s="34">
        <f t="shared" si="69"/>
        <v>0</v>
      </c>
      <c r="AO109" s="34">
        <f t="shared" si="70"/>
        <v>0</v>
      </c>
      <c r="AP109" s="34">
        <f t="shared" si="71"/>
        <v>0</v>
      </c>
      <c r="AR109" s="34">
        <f t="shared" si="72"/>
        <v>0</v>
      </c>
      <c r="AS109" s="34"/>
      <c r="AT109" s="29">
        <f>+VLOOKUP(C109,dotpop24!$A$10:$K$178,11,0)</f>
        <v>2523027.4700000002</v>
      </c>
      <c r="AU109" s="29">
        <f t="shared" si="73"/>
        <v>32555.193161290324</v>
      </c>
      <c r="AV109" s="29">
        <f t="shared" si="57"/>
        <v>16277.596580645162</v>
      </c>
      <c r="AW109" s="29">
        <f t="shared" si="74"/>
        <v>0</v>
      </c>
    </row>
    <row r="110" spans="1:49">
      <c r="A110" s="1" t="s">
        <v>30</v>
      </c>
      <c r="B110" s="1" t="s">
        <v>30</v>
      </c>
      <c r="C110" s="97">
        <v>340789981</v>
      </c>
      <c r="D110" s="1" t="s">
        <v>140</v>
      </c>
      <c r="E110" s="1" t="s">
        <v>25</v>
      </c>
      <c r="F110" s="44">
        <v>44013</v>
      </c>
      <c r="G110" s="44">
        <v>32779</v>
      </c>
      <c r="H110" s="44">
        <v>11234</v>
      </c>
      <c r="I110" s="45">
        <v>0.55600000000000005</v>
      </c>
      <c r="J110" s="45">
        <v>60.45</v>
      </c>
      <c r="K110" s="45">
        <v>7.4</v>
      </c>
      <c r="L110" s="45">
        <v>2.87</v>
      </c>
      <c r="M110" s="45">
        <v>3.46</v>
      </c>
      <c r="N110" s="35">
        <v>34</v>
      </c>
      <c r="O110" s="35" t="s">
        <v>26</v>
      </c>
      <c r="P110" s="35">
        <v>105</v>
      </c>
      <c r="Q110" s="35">
        <v>28</v>
      </c>
      <c r="R110" s="225">
        <f t="shared" si="56"/>
        <v>0.85529028049575995</v>
      </c>
      <c r="S110" s="225">
        <f t="shared" si="75"/>
        <v>1.0992172211350293</v>
      </c>
      <c r="T110" s="225"/>
      <c r="U110" s="78">
        <f t="shared" si="58"/>
        <v>4.6945205479452055</v>
      </c>
      <c r="V110" s="78">
        <f t="shared" si="59"/>
        <v>0</v>
      </c>
      <c r="W110" s="36">
        <f t="shared" si="60"/>
        <v>105</v>
      </c>
      <c r="X110" s="36">
        <f t="shared" si="61"/>
        <v>28</v>
      </c>
      <c r="Y110" s="40">
        <f>IF(B110="Public", 'synthèse v2'!$F$62/1000, IF(B110="Privé non lucratif",'synthèse v2'!$F$61/1000, IF(B110="Privé", 'synthèse v2'!$F$60/1000, "")))</f>
        <v>26.522545062955601</v>
      </c>
      <c r="Z110" s="40">
        <f t="shared" si="38"/>
        <v>13.2612725314778</v>
      </c>
      <c r="AA110" s="40">
        <f t="shared" si="62"/>
        <v>4.6945205479452055</v>
      </c>
      <c r="AB110" s="40">
        <f t="shared" si="63"/>
        <v>0</v>
      </c>
      <c r="AC110" s="34">
        <f t="shared" si="64"/>
        <v>124.51063278184773</v>
      </c>
      <c r="AD110" s="34">
        <f t="shared" si="65"/>
        <v>0</v>
      </c>
      <c r="AE110" s="34">
        <f t="shared" si="66"/>
        <v>124.51063278184773</v>
      </c>
      <c r="AF110" s="36">
        <v>0</v>
      </c>
      <c r="AG110" s="36">
        <v>0</v>
      </c>
      <c r="AH110" s="39">
        <v>0</v>
      </c>
      <c r="AI110" s="39">
        <v>0</v>
      </c>
      <c r="AJ110" s="36">
        <f t="shared" si="67"/>
        <v>0</v>
      </c>
      <c r="AK110" s="36">
        <f t="shared" si="68"/>
        <v>0</v>
      </c>
      <c r="AL110" s="40"/>
      <c r="AM110" s="40"/>
      <c r="AN110" s="34">
        <f t="shared" si="69"/>
        <v>0</v>
      </c>
      <c r="AO110" s="34">
        <f t="shared" si="70"/>
        <v>0</v>
      </c>
      <c r="AP110" s="34">
        <f t="shared" si="71"/>
        <v>0</v>
      </c>
      <c r="AR110" s="34">
        <f t="shared" si="72"/>
        <v>124.51063278184773</v>
      </c>
      <c r="AS110" s="34"/>
      <c r="AT110" s="29">
        <f>+VLOOKUP(C110,dotpop24!$A$10:$K$178,11,0)</f>
        <v>2563278.66</v>
      </c>
      <c r="AU110" s="29">
        <f t="shared" si="73"/>
        <v>21540.156806722691</v>
      </c>
      <c r="AV110" s="29">
        <f t="shared" si="57"/>
        <v>10770.078403361345</v>
      </c>
      <c r="AW110" s="29">
        <f t="shared" si="74"/>
        <v>101120.70873512146</v>
      </c>
    </row>
    <row r="111" spans="1:49">
      <c r="A111" s="1" t="s">
        <v>30</v>
      </c>
      <c r="B111" s="1" t="s">
        <v>30</v>
      </c>
      <c r="C111" s="97">
        <v>340796093</v>
      </c>
      <c r="D111" s="1" t="s">
        <v>141</v>
      </c>
      <c r="E111" s="1" t="s">
        <v>25</v>
      </c>
      <c r="F111" s="44">
        <v>39714</v>
      </c>
      <c r="G111" s="44">
        <v>28341</v>
      </c>
      <c r="H111" s="44">
        <v>11373</v>
      </c>
      <c r="I111" s="45">
        <v>0.497</v>
      </c>
      <c r="J111" s="45">
        <v>59.48</v>
      </c>
      <c r="K111" s="45">
        <v>6.26</v>
      </c>
      <c r="L111" s="45">
        <v>2.2599999999999998</v>
      </c>
      <c r="M111" s="45">
        <v>4.09</v>
      </c>
      <c r="N111" s="35">
        <v>34</v>
      </c>
      <c r="O111" s="35" t="s">
        <v>26</v>
      </c>
      <c r="P111" s="35">
        <v>90</v>
      </c>
      <c r="Q111" s="35">
        <v>50</v>
      </c>
      <c r="R111" s="225">
        <f t="shared" si="56"/>
        <v>0.86273972602739724</v>
      </c>
      <c r="S111" s="225">
        <f t="shared" si="75"/>
        <v>0.62317808219178084</v>
      </c>
      <c r="T111" s="225"/>
      <c r="U111" s="78">
        <f t="shared" si="58"/>
        <v>3.3534246575342466</v>
      </c>
      <c r="V111" s="78">
        <f t="shared" si="59"/>
        <v>16.341095890410958</v>
      </c>
      <c r="W111" s="36">
        <f t="shared" si="60"/>
        <v>90</v>
      </c>
      <c r="X111" s="36">
        <f t="shared" si="61"/>
        <v>50</v>
      </c>
      <c r="Y111" s="40">
        <f>IF(B111="Public", 'synthèse v2'!$F$62/1000, IF(B111="Privé non lucratif",'synthèse v2'!$F$61/1000, IF(B111="Privé", 'synthèse v2'!$F$60/1000, "")))</f>
        <v>26.522545062955601</v>
      </c>
      <c r="Z111" s="40">
        <f t="shared" si="38"/>
        <v>13.2612725314778</v>
      </c>
      <c r="AA111" s="40">
        <f t="shared" si="62"/>
        <v>3.3534246575342466</v>
      </c>
      <c r="AB111" s="40">
        <f t="shared" si="63"/>
        <v>16.341095890410958</v>
      </c>
      <c r="AC111" s="34">
        <f t="shared" si="64"/>
        <v>88.94135659467851</v>
      </c>
      <c r="AD111" s="34">
        <f t="shared" si="65"/>
        <v>216.70372606575162</v>
      </c>
      <c r="AE111" s="34">
        <f t="shared" si="66"/>
        <v>305.64508266043015</v>
      </c>
      <c r="AF111" s="36">
        <v>0</v>
      </c>
      <c r="AG111" s="36">
        <v>0</v>
      </c>
      <c r="AH111" s="39">
        <v>0</v>
      </c>
      <c r="AI111" s="39">
        <v>0</v>
      </c>
      <c r="AJ111" s="36">
        <f t="shared" si="67"/>
        <v>0</v>
      </c>
      <c r="AK111" s="36">
        <f t="shared" si="68"/>
        <v>0</v>
      </c>
      <c r="AL111" s="40"/>
      <c r="AM111" s="40"/>
      <c r="AN111" s="34">
        <f t="shared" si="69"/>
        <v>0</v>
      </c>
      <c r="AO111" s="34">
        <f t="shared" si="70"/>
        <v>0</v>
      </c>
      <c r="AP111" s="34">
        <f t="shared" si="71"/>
        <v>0</v>
      </c>
      <c r="AR111" s="34">
        <f t="shared" si="72"/>
        <v>305.64508266043015</v>
      </c>
      <c r="AS111" s="34"/>
      <c r="AT111" s="29">
        <f>+VLOOKUP(C111,dotpop24!$A$10:$K$178,11,0)</f>
        <v>2822043.99</v>
      </c>
      <c r="AU111" s="29">
        <f t="shared" si="73"/>
        <v>24539.512956521739</v>
      </c>
      <c r="AV111" s="29">
        <f t="shared" si="57"/>
        <v>12269.75647826087</v>
      </c>
      <c r="AW111" s="29">
        <f t="shared" si="74"/>
        <v>282792.67499553307</v>
      </c>
    </row>
    <row r="112" spans="1:49">
      <c r="A112" s="1" t="s">
        <v>22</v>
      </c>
      <c r="B112" s="1" t="s">
        <v>23</v>
      </c>
      <c r="C112" s="97">
        <v>340796358</v>
      </c>
      <c r="D112" s="1" t="s">
        <v>142</v>
      </c>
      <c r="E112" s="1" t="s">
        <v>25</v>
      </c>
      <c r="F112" s="44">
        <v>45596</v>
      </c>
      <c r="G112" s="44">
        <v>38733</v>
      </c>
      <c r="H112" s="44">
        <v>6863</v>
      </c>
      <c r="I112" s="45">
        <v>0.50900000000000001</v>
      </c>
      <c r="J112" s="45">
        <v>61.55</v>
      </c>
      <c r="K112" s="45">
        <v>8.5</v>
      </c>
      <c r="L112" s="45">
        <v>3.62</v>
      </c>
      <c r="M112" s="45">
        <v>4.3600000000000003</v>
      </c>
      <c r="N112" s="35">
        <v>34</v>
      </c>
      <c r="O112" s="35" t="s">
        <v>26</v>
      </c>
      <c r="P112" s="35">
        <v>113</v>
      </c>
      <c r="Q112" s="35">
        <v>19</v>
      </c>
      <c r="R112" s="225">
        <f t="shared" si="56"/>
        <v>0.93909564795732814</v>
      </c>
      <c r="S112" s="225">
        <f t="shared" si="75"/>
        <v>0.98961788031723141</v>
      </c>
      <c r="T112" s="225"/>
      <c r="U112" s="78">
        <f t="shared" si="58"/>
        <v>0</v>
      </c>
      <c r="V112" s="78">
        <f t="shared" si="59"/>
        <v>0</v>
      </c>
      <c r="W112" s="36">
        <f t="shared" si="60"/>
        <v>113</v>
      </c>
      <c r="X112" s="36">
        <f t="shared" si="61"/>
        <v>19</v>
      </c>
      <c r="Y112" s="40">
        <f>IF(B112="Public", 'synthèse v2'!$F$62/1000, IF(B112="Privé non lucratif",'synthèse v2'!$F$61/1000, IF(B112="Privé", 'synthèse v2'!$F$60/1000, "")))</f>
        <v>43.762959354365371</v>
      </c>
      <c r="Z112" s="40">
        <f t="shared" si="38"/>
        <v>21.881479677182686</v>
      </c>
      <c r="AA112" s="40">
        <f t="shared" si="62"/>
        <v>0</v>
      </c>
      <c r="AB112" s="40">
        <f t="shared" si="63"/>
        <v>0</v>
      </c>
      <c r="AC112" s="34">
        <f t="shared" si="64"/>
        <v>0</v>
      </c>
      <c r="AD112" s="34">
        <f t="shared" si="65"/>
        <v>0</v>
      </c>
      <c r="AE112" s="34">
        <f t="shared" si="66"/>
        <v>0</v>
      </c>
      <c r="AF112" s="36">
        <v>0</v>
      </c>
      <c r="AG112" s="36">
        <v>0</v>
      </c>
      <c r="AH112" s="39">
        <v>0</v>
      </c>
      <c r="AI112" s="39">
        <v>0</v>
      </c>
      <c r="AJ112" s="36">
        <f t="shared" si="67"/>
        <v>0</v>
      </c>
      <c r="AK112" s="36">
        <f t="shared" si="68"/>
        <v>0</v>
      </c>
      <c r="AL112" s="40"/>
      <c r="AM112" s="40"/>
      <c r="AN112" s="34">
        <f t="shared" si="69"/>
        <v>0</v>
      </c>
      <c r="AO112" s="34">
        <f t="shared" si="70"/>
        <v>0</v>
      </c>
      <c r="AP112" s="34">
        <f t="shared" si="71"/>
        <v>0</v>
      </c>
      <c r="AR112" s="34">
        <f t="shared" si="72"/>
        <v>0</v>
      </c>
      <c r="AS112" s="34"/>
      <c r="AT112" s="29">
        <f>+VLOOKUP(C112,dotpop24!$A$10:$K$178,11,0)</f>
        <v>5364644.29</v>
      </c>
      <c r="AU112" s="29">
        <f t="shared" si="73"/>
        <v>43793.0146122449</v>
      </c>
      <c r="AV112" s="29">
        <f t="shared" si="57"/>
        <v>21896.50730612245</v>
      </c>
      <c r="AW112" s="29">
        <f t="shared" si="74"/>
        <v>0</v>
      </c>
    </row>
    <row r="113" spans="1:49">
      <c r="A113" s="1" t="s">
        <v>30</v>
      </c>
      <c r="B113" s="1" t="s">
        <v>30</v>
      </c>
      <c r="C113" s="97">
        <v>340797596</v>
      </c>
      <c r="D113" s="1" t="s">
        <v>143</v>
      </c>
      <c r="E113" s="1" t="s">
        <v>25</v>
      </c>
      <c r="F113" s="44">
        <v>26314</v>
      </c>
      <c r="G113" s="44">
        <v>26314</v>
      </c>
      <c r="H113" s="44">
        <v>0</v>
      </c>
      <c r="I113" s="45">
        <v>0.28499999999999998</v>
      </c>
      <c r="J113" s="45">
        <v>84.69</v>
      </c>
      <c r="K113" s="45">
        <v>10.15</v>
      </c>
      <c r="L113" s="45">
        <v>3.43</v>
      </c>
      <c r="M113" s="45">
        <v>1.86</v>
      </c>
      <c r="N113" s="35">
        <v>34</v>
      </c>
      <c r="O113" s="35" t="s">
        <v>26</v>
      </c>
      <c r="P113" s="35">
        <v>73</v>
      </c>
      <c r="Q113" s="35">
        <v>0</v>
      </c>
      <c r="R113" s="225">
        <f t="shared" si="56"/>
        <v>0.98757740664289739</v>
      </c>
      <c r="S113" s="225"/>
      <c r="T113" s="225"/>
      <c r="U113" s="78">
        <f t="shared" si="58"/>
        <v>0</v>
      </c>
      <c r="V113" s="78">
        <f t="shared" si="59"/>
        <v>0</v>
      </c>
      <c r="W113" s="36">
        <f t="shared" si="60"/>
        <v>73</v>
      </c>
      <c r="X113" s="36">
        <f t="shared" si="61"/>
        <v>0</v>
      </c>
      <c r="Y113" s="40">
        <f>IF(B113="Public", 'synthèse v2'!$F$62/1000, IF(B113="Privé non lucratif",'synthèse v2'!$F$61/1000, IF(B113="Privé", 'synthèse v2'!$F$60/1000, "")))</f>
        <v>26.522545062955601</v>
      </c>
      <c r="Z113" s="40">
        <f t="shared" si="38"/>
        <v>13.2612725314778</v>
      </c>
      <c r="AA113" s="40">
        <f t="shared" si="62"/>
        <v>0</v>
      </c>
      <c r="AB113" s="40">
        <f t="shared" si="63"/>
        <v>0</v>
      </c>
      <c r="AC113" s="34">
        <f t="shared" si="64"/>
        <v>0</v>
      </c>
      <c r="AD113" s="34">
        <f t="shared" si="65"/>
        <v>0</v>
      </c>
      <c r="AE113" s="34">
        <f t="shared" si="66"/>
        <v>0</v>
      </c>
      <c r="AF113" s="36">
        <v>0</v>
      </c>
      <c r="AG113" s="36">
        <v>0</v>
      </c>
      <c r="AH113" s="39">
        <v>0</v>
      </c>
      <c r="AI113" s="39">
        <v>0</v>
      </c>
      <c r="AJ113" s="36">
        <f t="shared" si="67"/>
        <v>0</v>
      </c>
      <c r="AK113" s="36">
        <f t="shared" si="68"/>
        <v>0</v>
      </c>
      <c r="AL113" s="40"/>
      <c r="AM113" s="40"/>
      <c r="AN113" s="34">
        <f t="shared" si="69"/>
        <v>0</v>
      </c>
      <c r="AO113" s="34">
        <f t="shared" si="70"/>
        <v>0</v>
      </c>
      <c r="AP113" s="34">
        <f t="shared" si="71"/>
        <v>0</v>
      </c>
      <c r="AR113" s="34">
        <f t="shared" si="72"/>
        <v>0</v>
      </c>
      <c r="AS113" s="34"/>
      <c r="AT113" s="29">
        <f>+VLOOKUP(C113,dotpop24!$A$10:$K$178,11,0)</f>
        <v>2082779.78</v>
      </c>
      <c r="AU113" s="29">
        <f t="shared" si="73"/>
        <v>28531.229863013697</v>
      </c>
      <c r="AV113" s="29">
        <f t="shared" si="57"/>
        <v>14265.614931506849</v>
      </c>
      <c r="AW113" s="29">
        <f t="shared" si="74"/>
        <v>0</v>
      </c>
    </row>
    <row r="114" spans="1:49">
      <c r="A114" s="1" t="s">
        <v>30</v>
      </c>
      <c r="B114" s="1" t="s">
        <v>30</v>
      </c>
      <c r="C114" s="97">
        <v>340798552</v>
      </c>
      <c r="D114" s="1" t="s">
        <v>144</v>
      </c>
      <c r="E114" s="1" t="s">
        <v>25</v>
      </c>
      <c r="F114" s="44">
        <v>28771</v>
      </c>
      <c r="G114" s="44">
        <v>28771</v>
      </c>
      <c r="H114" s="44">
        <v>0</v>
      </c>
      <c r="I114" s="45">
        <v>0.28799999999999998</v>
      </c>
      <c r="J114" s="45">
        <v>85.15</v>
      </c>
      <c r="K114" s="45">
        <v>11.17</v>
      </c>
      <c r="L114" s="45">
        <v>3.28</v>
      </c>
      <c r="M114" s="45">
        <v>1.58</v>
      </c>
      <c r="N114" s="35">
        <v>34</v>
      </c>
      <c r="O114" s="35" t="s">
        <v>26</v>
      </c>
      <c r="P114" s="35">
        <v>80</v>
      </c>
      <c r="Q114" s="35">
        <v>0</v>
      </c>
      <c r="R114" s="225">
        <f t="shared" si="56"/>
        <v>0.9853082191780822</v>
      </c>
      <c r="S114" s="225"/>
      <c r="T114" s="225"/>
      <c r="U114" s="78">
        <f t="shared" si="58"/>
        <v>0</v>
      </c>
      <c r="V114" s="78">
        <f t="shared" si="59"/>
        <v>0</v>
      </c>
      <c r="W114" s="36">
        <f t="shared" si="60"/>
        <v>80</v>
      </c>
      <c r="X114" s="36">
        <f t="shared" si="61"/>
        <v>0</v>
      </c>
      <c r="Y114" s="40">
        <f>IF(B114="Public", 'synthèse v2'!$F$62/1000, IF(B114="Privé non lucratif",'synthèse v2'!$F$61/1000, IF(B114="Privé", 'synthèse v2'!$F$60/1000, "")))</f>
        <v>26.522545062955601</v>
      </c>
      <c r="Z114" s="40">
        <f t="shared" si="38"/>
        <v>13.2612725314778</v>
      </c>
      <c r="AA114" s="40">
        <f t="shared" si="62"/>
        <v>0</v>
      </c>
      <c r="AB114" s="40">
        <f t="shared" si="63"/>
        <v>0</v>
      </c>
      <c r="AC114" s="34">
        <f t="shared" si="64"/>
        <v>0</v>
      </c>
      <c r="AD114" s="34">
        <f t="shared" si="65"/>
        <v>0</v>
      </c>
      <c r="AE114" s="34">
        <f t="shared" si="66"/>
        <v>0</v>
      </c>
      <c r="AF114" s="36">
        <v>0</v>
      </c>
      <c r="AG114" s="36">
        <v>0</v>
      </c>
      <c r="AH114" s="39">
        <v>0</v>
      </c>
      <c r="AI114" s="39">
        <v>0</v>
      </c>
      <c r="AJ114" s="36">
        <f t="shared" si="67"/>
        <v>0</v>
      </c>
      <c r="AK114" s="36">
        <f t="shared" si="68"/>
        <v>0</v>
      </c>
      <c r="AL114" s="40"/>
      <c r="AM114" s="40"/>
      <c r="AN114" s="34">
        <f t="shared" si="69"/>
        <v>0</v>
      </c>
      <c r="AO114" s="34">
        <f t="shared" si="70"/>
        <v>0</v>
      </c>
      <c r="AP114" s="34">
        <f t="shared" si="71"/>
        <v>0</v>
      </c>
      <c r="AR114" s="34">
        <f t="shared" si="72"/>
        <v>0</v>
      </c>
      <c r="AS114" s="34"/>
      <c r="AT114" s="29">
        <f>+VLOOKUP(C114,dotpop24!$A$10:$K$178,11,0)</f>
        <v>2147398</v>
      </c>
      <c r="AU114" s="29">
        <f t="shared" si="73"/>
        <v>26842.474999999999</v>
      </c>
      <c r="AV114" s="29">
        <f t="shared" si="57"/>
        <v>13421.237499999999</v>
      </c>
      <c r="AW114" s="29">
        <f t="shared" si="74"/>
        <v>0</v>
      </c>
    </row>
    <row r="115" spans="1:49">
      <c r="A115" s="1" t="s">
        <v>33</v>
      </c>
      <c r="B115" s="1" t="s">
        <v>34</v>
      </c>
      <c r="C115" s="97">
        <v>460000060</v>
      </c>
      <c r="D115" s="1" t="s">
        <v>145</v>
      </c>
      <c r="E115" s="1" t="s">
        <v>25</v>
      </c>
      <c r="F115" s="44">
        <v>40830</v>
      </c>
      <c r="G115" s="44">
        <v>36718</v>
      </c>
      <c r="H115" s="44">
        <v>4112</v>
      </c>
      <c r="I115" s="45">
        <v>0.55000000000000004</v>
      </c>
      <c r="J115" s="45">
        <v>66.67</v>
      </c>
      <c r="K115" s="45">
        <v>7.29</v>
      </c>
      <c r="L115" s="45">
        <v>3.03</v>
      </c>
      <c r="M115" s="45">
        <v>2.68</v>
      </c>
      <c r="N115" s="35">
        <v>46</v>
      </c>
      <c r="O115" s="35" t="s">
        <v>26</v>
      </c>
      <c r="P115" s="35">
        <v>130</v>
      </c>
      <c r="Q115" s="35">
        <v>5</v>
      </c>
      <c r="R115" s="225">
        <f t="shared" si="56"/>
        <v>0.77382507903055853</v>
      </c>
      <c r="S115" s="225">
        <f>+H115/(Q115*365)</f>
        <v>2.2531506849315068</v>
      </c>
      <c r="T115" s="225"/>
      <c r="U115" s="78">
        <f t="shared" si="58"/>
        <v>16.402739726027399</v>
      </c>
      <c r="V115" s="78">
        <f t="shared" si="59"/>
        <v>0</v>
      </c>
      <c r="W115" s="36">
        <f t="shared" si="60"/>
        <v>130</v>
      </c>
      <c r="X115" s="36">
        <f t="shared" si="61"/>
        <v>5</v>
      </c>
      <c r="Y115" s="40">
        <f>IF(B115="Public", 'synthèse v2'!$F$62/1000, IF(B115="Privé non lucratif",'synthèse v2'!$F$61/1000, IF(B115="Privé", 'synthèse v2'!$F$60/1000, "")))</f>
        <v>36.984345997610518</v>
      </c>
      <c r="Z115" s="40">
        <f t="shared" si="38"/>
        <v>18.492172998805259</v>
      </c>
      <c r="AA115" s="40">
        <f t="shared" si="62"/>
        <v>16.402739726027399</v>
      </c>
      <c r="AB115" s="40">
        <f t="shared" si="63"/>
        <v>0</v>
      </c>
      <c r="AC115" s="34">
        <f t="shared" si="64"/>
        <v>606.64460133614841</v>
      </c>
      <c r="AD115" s="34">
        <f t="shared" si="65"/>
        <v>0</v>
      </c>
      <c r="AE115" s="34">
        <f t="shared" si="66"/>
        <v>606.64460133614841</v>
      </c>
      <c r="AF115" s="36">
        <v>0</v>
      </c>
      <c r="AG115" s="36">
        <v>0</v>
      </c>
      <c r="AH115" s="39">
        <v>0</v>
      </c>
      <c r="AI115" s="39">
        <v>0</v>
      </c>
      <c r="AJ115" s="36">
        <f t="shared" si="67"/>
        <v>0</v>
      </c>
      <c r="AK115" s="36">
        <f t="shared" si="68"/>
        <v>0</v>
      </c>
      <c r="AL115" s="40"/>
      <c r="AM115" s="40"/>
      <c r="AN115" s="34">
        <f t="shared" si="69"/>
        <v>0</v>
      </c>
      <c r="AO115" s="34">
        <f t="shared" si="70"/>
        <v>0</v>
      </c>
      <c r="AP115" s="34">
        <f t="shared" si="71"/>
        <v>0</v>
      </c>
      <c r="AR115" s="34">
        <f t="shared" si="72"/>
        <v>606.64460133614841</v>
      </c>
      <c r="AS115" s="34"/>
      <c r="AT115" s="29">
        <f>+VLOOKUP(C115,dotpop24!$A$10:$K$178,11,0)</f>
        <v>4834831.42</v>
      </c>
      <c r="AU115" s="29">
        <f t="shared" si="73"/>
        <v>36489.293735849053</v>
      </c>
      <c r="AV115" s="29">
        <f t="shared" si="57"/>
        <v>18244.646867924526</v>
      </c>
      <c r="AW115" s="29">
        <f t="shared" si="74"/>
        <v>598524.38793569396</v>
      </c>
    </row>
    <row r="116" spans="1:49">
      <c r="A116" s="1" t="s">
        <v>33</v>
      </c>
      <c r="B116" s="1" t="s">
        <v>34</v>
      </c>
      <c r="C116" s="97">
        <v>460006083</v>
      </c>
      <c r="D116" s="1" t="s">
        <v>146</v>
      </c>
      <c r="E116" s="1" t="s">
        <v>25</v>
      </c>
      <c r="F116" s="44">
        <v>5677</v>
      </c>
      <c r="G116" s="44">
        <v>5677</v>
      </c>
      <c r="H116" s="44">
        <v>0</v>
      </c>
      <c r="I116" s="45">
        <v>0.29599999999999999</v>
      </c>
      <c r="J116" s="45">
        <v>84.37</v>
      </c>
      <c r="K116" s="45">
        <v>9.07</v>
      </c>
      <c r="L116" s="45">
        <v>3.26</v>
      </c>
      <c r="M116" s="45">
        <v>0.64</v>
      </c>
      <c r="N116" s="35">
        <v>46</v>
      </c>
      <c r="O116" s="35" t="s">
        <v>26</v>
      </c>
      <c r="P116" s="35">
        <v>30</v>
      </c>
      <c r="Q116" s="35">
        <v>0</v>
      </c>
      <c r="R116" s="225">
        <f t="shared" si="56"/>
        <v>0.51844748858447487</v>
      </c>
      <c r="S116" s="225"/>
      <c r="T116" s="225"/>
      <c r="U116" s="78">
        <f t="shared" si="58"/>
        <v>11.446575342465753</v>
      </c>
      <c r="V116" s="78">
        <f t="shared" si="59"/>
        <v>0</v>
      </c>
      <c r="W116" s="36">
        <f t="shared" si="60"/>
        <v>30</v>
      </c>
      <c r="X116" s="36">
        <f t="shared" si="61"/>
        <v>0</v>
      </c>
      <c r="Y116" s="40">
        <f>IF(B116="Public", 'synthèse v2'!$F$62/1000, IF(B116="Privé non lucratif",'synthèse v2'!$F$61/1000, IF(B116="Privé", 'synthèse v2'!$F$60/1000, "")))</f>
        <v>36.984345997610518</v>
      </c>
      <c r="Z116" s="40">
        <f t="shared" si="38"/>
        <v>18.492172998805259</v>
      </c>
      <c r="AA116" s="40">
        <f t="shared" si="62"/>
        <v>11.446575342465753</v>
      </c>
      <c r="AB116" s="40">
        <f t="shared" si="63"/>
        <v>0</v>
      </c>
      <c r="AC116" s="34">
        <f t="shared" si="64"/>
        <v>423.3441029534705</v>
      </c>
      <c r="AD116" s="34">
        <f t="shared" si="65"/>
        <v>0</v>
      </c>
      <c r="AE116" s="34">
        <f t="shared" si="66"/>
        <v>423.3441029534705</v>
      </c>
      <c r="AF116" s="36">
        <v>0</v>
      </c>
      <c r="AG116" s="36">
        <v>0</v>
      </c>
      <c r="AH116" s="39">
        <v>0</v>
      </c>
      <c r="AI116" s="39">
        <v>0</v>
      </c>
      <c r="AJ116" s="36">
        <f t="shared" si="67"/>
        <v>0</v>
      </c>
      <c r="AK116" s="36">
        <f t="shared" si="68"/>
        <v>0</v>
      </c>
      <c r="AL116" s="40"/>
      <c r="AM116" s="40"/>
      <c r="AN116" s="34">
        <f t="shared" si="69"/>
        <v>0</v>
      </c>
      <c r="AO116" s="34">
        <f t="shared" si="70"/>
        <v>0</v>
      </c>
      <c r="AP116" s="34">
        <f t="shared" si="71"/>
        <v>0</v>
      </c>
      <c r="AR116" s="34">
        <f t="shared" si="72"/>
        <v>423.3441029534705</v>
      </c>
      <c r="AS116" s="34"/>
      <c r="AT116" s="137">
        <v>821731.69</v>
      </c>
      <c r="AU116" s="29">
        <f t="shared" si="73"/>
        <v>27391.05633333333</v>
      </c>
      <c r="AV116" s="29">
        <f t="shared" si="57"/>
        <v>13695.528166666665</v>
      </c>
      <c r="AW116" s="29">
        <f t="shared" si="74"/>
        <v>313533.79002922372</v>
      </c>
    </row>
    <row r="117" spans="1:49">
      <c r="A117" s="1" t="s">
        <v>30</v>
      </c>
      <c r="B117" s="1" t="s">
        <v>30</v>
      </c>
      <c r="C117" s="97">
        <v>460006349</v>
      </c>
      <c r="D117" s="1" t="s">
        <v>147</v>
      </c>
      <c r="E117" s="1" t="s">
        <v>25</v>
      </c>
      <c r="F117" s="44">
        <v>12689</v>
      </c>
      <c r="G117" s="44">
        <v>12689</v>
      </c>
      <c r="H117" s="44">
        <v>0</v>
      </c>
      <c r="I117" s="45">
        <v>0.311</v>
      </c>
      <c r="J117" s="45">
        <v>83.27</v>
      </c>
      <c r="K117" s="45">
        <v>9.83</v>
      </c>
      <c r="L117" s="45">
        <v>4.17</v>
      </c>
      <c r="M117" s="45">
        <v>1.68</v>
      </c>
      <c r="N117" s="35">
        <v>46</v>
      </c>
      <c r="O117" s="35" t="s">
        <v>26</v>
      </c>
      <c r="P117" s="35">
        <v>42</v>
      </c>
      <c r="Q117" s="35">
        <v>0</v>
      </c>
      <c r="R117" s="225">
        <f t="shared" si="56"/>
        <v>0.827723418134377</v>
      </c>
      <c r="S117" s="225"/>
      <c r="T117" s="225"/>
      <c r="U117" s="78">
        <f t="shared" si="58"/>
        <v>3.0356164383561643</v>
      </c>
      <c r="V117" s="78">
        <f t="shared" si="59"/>
        <v>0</v>
      </c>
      <c r="W117" s="36">
        <f t="shared" si="60"/>
        <v>42</v>
      </c>
      <c r="X117" s="36">
        <f t="shared" si="61"/>
        <v>0</v>
      </c>
      <c r="Y117" s="40">
        <f>IF(B117="Public", 'synthèse v2'!$F$62/1000, IF(B117="Privé non lucratif",'synthèse v2'!$F$61/1000, IF(B117="Privé", 'synthèse v2'!$F$60/1000, "")))</f>
        <v>26.522545062955601</v>
      </c>
      <c r="Z117" s="40">
        <f t="shared" si="38"/>
        <v>13.2612725314778</v>
      </c>
      <c r="AA117" s="40">
        <f t="shared" si="62"/>
        <v>3.0356164383561643</v>
      </c>
      <c r="AB117" s="40">
        <f t="shared" si="63"/>
        <v>0</v>
      </c>
      <c r="AC117" s="34">
        <f t="shared" si="64"/>
        <v>80.512273780150153</v>
      </c>
      <c r="AD117" s="34">
        <f t="shared" si="65"/>
        <v>0</v>
      </c>
      <c r="AE117" s="34">
        <f t="shared" si="66"/>
        <v>80.512273780150153</v>
      </c>
      <c r="AF117" s="36">
        <v>0</v>
      </c>
      <c r="AG117" s="36">
        <v>0</v>
      </c>
      <c r="AH117" s="39">
        <v>0</v>
      </c>
      <c r="AI117" s="39">
        <v>0</v>
      </c>
      <c r="AJ117" s="36">
        <f t="shared" si="67"/>
        <v>0</v>
      </c>
      <c r="AK117" s="36">
        <f t="shared" si="68"/>
        <v>0</v>
      </c>
      <c r="AL117" s="40"/>
      <c r="AM117" s="40"/>
      <c r="AN117" s="34">
        <f t="shared" si="69"/>
        <v>0</v>
      </c>
      <c r="AO117" s="34">
        <f t="shared" si="70"/>
        <v>0</v>
      </c>
      <c r="AP117" s="34">
        <f t="shared" si="71"/>
        <v>0</v>
      </c>
      <c r="AR117" s="34">
        <f t="shared" si="72"/>
        <v>80.512273780150153</v>
      </c>
      <c r="AS117" s="34"/>
      <c r="AT117" s="29">
        <f>+VLOOKUP(C117,dotpop24!$A$10:$K$178,11,0)</f>
        <v>895231.8</v>
      </c>
      <c r="AU117" s="29">
        <f t="shared" si="73"/>
        <v>21315.042857142857</v>
      </c>
      <c r="AV117" s="29">
        <f t="shared" si="57"/>
        <v>10657.521428571428</v>
      </c>
      <c r="AW117" s="29">
        <f t="shared" si="74"/>
        <v>64704.294481409001</v>
      </c>
    </row>
    <row r="118" spans="1:49">
      <c r="A118" s="1" t="s">
        <v>30</v>
      </c>
      <c r="B118" s="1" t="s">
        <v>30</v>
      </c>
      <c r="C118" s="97">
        <v>460780042</v>
      </c>
      <c r="D118" s="1" t="s">
        <v>148</v>
      </c>
      <c r="E118" s="1" t="s">
        <v>25</v>
      </c>
      <c r="F118" s="44">
        <v>19220</v>
      </c>
      <c r="G118" s="44">
        <v>19220</v>
      </c>
      <c r="H118" s="44">
        <v>0</v>
      </c>
      <c r="I118" s="45">
        <v>0.34699999999999998</v>
      </c>
      <c r="J118" s="45">
        <v>82.69</v>
      </c>
      <c r="K118" s="45">
        <v>11.19</v>
      </c>
      <c r="L118" s="45">
        <v>4.57</v>
      </c>
      <c r="M118" s="45">
        <v>2.06</v>
      </c>
      <c r="N118" s="35">
        <v>46</v>
      </c>
      <c r="O118" s="35" t="s">
        <v>26</v>
      </c>
      <c r="P118" s="35">
        <v>56</v>
      </c>
      <c r="Q118" s="35">
        <v>0</v>
      </c>
      <c r="R118" s="225">
        <f t="shared" si="56"/>
        <v>0.94031311154598829</v>
      </c>
      <c r="S118" s="225"/>
      <c r="T118" s="225"/>
      <c r="U118" s="78">
        <f t="shared" si="58"/>
        <v>0</v>
      </c>
      <c r="V118" s="78">
        <f t="shared" si="59"/>
        <v>0</v>
      </c>
      <c r="W118" s="36">
        <f t="shared" si="60"/>
        <v>56</v>
      </c>
      <c r="X118" s="36">
        <f t="shared" si="61"/>
        <v>0</v>
      </c>
      <c r="Y118" s="40">
        <f>IF(B118="Public", 'synthèse v2'!$F$62/1000, IF(B118="Privé non lucratif",'synthèse v2'!$F$61/1000, IF(B118="Privé", 'synthèse v2'!$F$60/1000, "")))</f>
        <v>26.522545062955601</v>
      </c>
      <c r="Z118" s="40">
        <f t="shared" si="38"/>
        <v>13.2612725314778</v>
      </c>
      <c r="AA118" s="40">
        <f t="shared" si="62"/>
        <v>0</v>
      </c>
      <c r="AB118" s="40">
        <f t="shared" si="63"/>
        <v>0</v>
      </c>
      <c r="AC118" s="34">
        <f t="shared" si="64"/>
        <v>0</v>
      </c>
      <c r="AD118" s="34">
        <f t="shared" si="65"/>
        <v>0</v>
      </c>
      <c r="AE118" s="34">
        <f t="shared" si="66"/>
        <v>0</v>
      </c>
      <c r="AF118" s="36">
        <v>0</v>
      </c>
      <c r="AG118" s="36">
        <v>0</v>
      </c>
      <c r="AH118" s="39">
        <v>0</v>
      </c>
      <c r="AI118" s="39">
        <v>0</v>
      </c>
      <c r="AJ118" s="36">
        <f t="shared" si="67"/>
        <v>0</v>
      </c>
      <c r="AK118" s="36">
        <f t="shared" si="68"/>
        <v>0</v>
      </c>
      <c r="AL118" s="40"/>
      <c r="AM118" s="40"/>
      <c r="AN118" s="34">
        <f t="shared" si="69"/>
        <v>0</v>
      </c>
      <c r="AO118" s="34">
        <f t="shared" si="70"/>
        <v>0</v>
      </c>
      <c r="AP118" s="34">
        <f t="shared" si="71"/>
        <v>0</v>
      </c>
      <c r="AR118" s="34">
        <f t="shared" si="72"/>
        <v>0</v>
      </c>
      <c r="AS118" s="34"/>
      <c r="AT118" s="29">
        <f>+VLOOKUP(C118,dotpop24!$A$10:$K$178,11,0)</f>
        <v>1263201.5</v>
      </c>
      <c r="AU118" s="29">
        <f t="shared" si="73"/>
        <v>22557.169642857141</v>
      </c>
      <c r="AV118" s="29">
        <f t="shared" si="57"/>
        <v>11278.584821428571</v>
      </c>
      <c r="AW118" s="29">
        <f t="shared" si="74"/>
        <v>0</v>
      </c>
    </row>
    <row r="119" spans="1:49">
      <c r="A119" s="1" t="s">
        <v>22</v>
      </c>
      <c r="B119" s="1" t="s">
        <v>23</v>
      </c>
      <c r="C119" s="97">
        <v>460780083</v>
      </c>
      <c r="D119" s="1" t="s">
        <v>149</v>
      </c>
      <c r="E119" s="1" t="s">
        <v>25</v>
      </c>
      <c r="F119" s="44">
        <v>10836</v>
      </c>
      <c r="G119" s="44">
        <v>10836</v>
      </c>
      <c r="H119" s="44">
        <v>0</v>
      </c>
      <c r="I119" s="45">
        <v>0.34100000000000003</v>
      </c>
      <c r="J119" s="45">
        <v>77.84</v>
      </c>
      <c r="K119" s="45">
        <v>8.07</v>
      </c>
      <c r="L119" s="45">
        <v>2.61</v>
      </c>
      <c r="M119" s="45">
        <v>1.31</v>
      </c>
      <c r="N119" s="35">
        <v>46</v>
      </c>
      <c r="O119" s="35" t="s">
        <v>26</v>
      </c>
      <c r="P119" s="35">
        <v>37</v>
      </c>
      <c r="Q119" s="35">
        <v>0</v>
      </c>
      <c r="R119" s="225">
        <f t="shared" si="56"/>
        <v>0.80236949278045167</v>
      </c>
      <c r="S119" s="225"/>
      <c r="T119" s="225"/>
      <c r="U119" s="78">
        <f t="shared" si="58"/>
        <v>3.6123287671232878</v>
      </c>
      <c r="V119" s="78">
        <f t="shared" si="59"/>
        <v>0</v>
      </c>
      <c r="W119" s="36">
        <f t="shared" si="60"/>
        <v>37</v>
      </c>
      <c r="X119" s="36">
        <f t="shared" si="61"/>
        <v>0</v>
      </c>
      <c r="Y119" s="40">
        <f>IF(B119="Public", 'synthèse v2'!$F$62/1000, IF(B119="Privé non lucratif",'synthèse v2'!$F$61/1000, IF(B119="Privé", 'synthèse v2'!$F$60/1000, "")))</f>
        <v>43.762959354365371</v>
      </c>
      <c r="Z119" s="40">
        <f t="shared" si="38"/>
        <v>21.881479677182686</v>
      </c>
      <c r="AA119" s="40">
        <f t="shared" si="62"/>
        <v>3.6123287671232878</v>
      </c>
      <c r="AB119" s="40">
        <f t="shared" si="63"/>
        <v>0</v>
      </c>
      <c r="AC119" s="34">
        <f t="shared" si="64"/>
        <v>158.08619701022121</v>
      </c>
      <c r="AD119" s="34">
        <f t="shared" si="65"/>
        <v>0</v>
      </c>
      <c r="AE119" s="34">
        <f t="shared" si="66"/>
        <v>158.08619701022121</v>
      </c>
      <c r="AF119" s="36">
        <v>0</v>
      </c>
      <c r="AG119" s="36">
        <v>0</v>
      </c>
      <c r="AH119" s="39">
        <v>0</v>
      </c>
      <c r="AI119" s="39">
        <v>0</v>
      </c>
      <c r="AJ119" s="36">
        <f t="shared" si="67"/>
        <v>0</v>
      </c>
      <c r="AK119" s="36">
        <f t="shared" si="68"/>
        <v>0</v>
      </c>
      <c r="AL119" s="40"/>
      <c r="AM119" s="40"/>
      <c r="AN119" s="34">
        <f t="shared" si="69"/>
        <v>0</v>
      </c>
      <c r="AO119" s="34">
        <f t="shared" si="70"/>
        <v>0</v>
      </c>
      <c r="AP119" s="34">
        <f t="shared" si="71"/>
        <v>0</v>
      </c>
      <c r="AR119" s="34">
        <f t="shared" si="72"/>
        <v>158.08619701022121</v>
      </c>
      <c r="AS119" s="34"/>
      <c r="AT119" s="29">
        <f>+VLOOKUP(C119,dotpop24!$A$10:$K$178,11,0)</f>
        <v>1543588.11</v>
      </c>
      <c r="AU119" s="29">
        <f t="shared" si="73"/>
        <v>41718.597567567573</v>
      </c>
      <c r="AV119" s="29">
        <f t="shared" si="57"/>
        <v>20859.298783783786</v>
      </c>
      <c r="AW119" s="29">
        <f t="shared" si="74"/>
        <v>150701.29011736397</v>
      </c>
    </row>
    <row r="120" spans="1:49">
      <c r="A120" s="1" t="s">
        <v>22</v>
      </c>
      <c r="B120" s="1" t="s">
        <v>23</v>
      </c>
      <c r="C120" s="97">
        <v>460780091</v>
      </c>
      <c r="D120" s="1" t="s">
        <v>150</v>
      </c>
      <c r="E120" s="1" t="s">
        <v>25</v>
      </c>
      <c r="F120" s="44">
        <v>7865</v>
      </c>
      <c r="G120" s="44">
        <v>7865</v>
      </c>
      <c r="H120" s="44">
        <v>0</v>
      </c>
      <c r="I120" s="45">
        <v>0.38800000000000001</v>
      </c>
      <c r="J120" s="45">
        <v>82.36</v>
      </c>
      <c r="K120" s="45">
        <v>9.41</v>
      </c>
      <c r="L120" s="45">
        <v>3.85</v>
      </c>
      <c r="M120" s="45">
        <v>1.62</v>
      </c>
      <c r="N120" s="35">
        <v>46</v>
      </c>
      <c r="O120" s="35" t="s">
        <v>26</v>
      </c>
      <c r="P120" s="35">
        <v>29</v>
      </c>
      <c r="Q120" s="35">
        <v>0</v>
      </c>
      <c r="R120" s="225">
        <f t="shared" si="56"/>
        <v>0.74303259329239491</v>
      </c>
      <c r="S120" s="225"/>
      <c r="T120" s="225"/>
      <c r="U120" s="78">
        <f t="shared" si="58"/>
        <v>4.5520547945205481</v>
      </c>
      <c r="V120" s="78">
        <f t="shared" si="59"/>
        <v>0</v>
      </c>
      <c r="W120" s="36">
        <f t="shared" si="60"/>
        <v>29</v>
      </c>
      <c r="X120" s="36">
        <f t="shared" si="61"/>
        <v>0</v>
      </c>
      <c r="Y120" s="40">
        <f>IF(B120="Public", 'synthèse v2'!$F$62/1000, IF(B120="Privé non lucratif",'synthèse v2'!$F$61/1000, IF(B120="Privé", 'synthèse v2'!$F$60/1000, "")))</f>
        <v>43.762959354365371</v>
      </c>
      <c r="Z120" s="40">
        <f t="shared" si="38"/>
        <v>21.881479677182686</v>
      </c>
      <c r="AA120" s="40">
        <f t="shared" si="62"/>
        <v>4.5520547945205481</v>
      </c>
      <c r="AB120" s="40">
        <f t="shared" si="63"/>
        <v>0</v>
      </c>
      <c r="AC120" s="34">
        <f t="shared" si="64"/>
        <v>199.21138895144676</v>
      </c>
      <c r="AD120" s="34">
        <f t="shared" si="65"/>
        <v>0</v>
      </c>
      <c r="AE120" s="34">
        <f t="shared" si="66"/>
        <v>199.21138895144676</v>
      </c>
      <c r="AF120" s="36">
        <v>0</v>
      </c>
      <c r="AG120" s="36">
        <v>0</v>
      </c>
      <c r="AH120" s="39">
        <v>0</v>
      </c>
      <c r="AI120" s="39">
        <v>0</v>
      </c>
      <c r="AJ120" s="36">
        <f t="shared" si="67"/>
        <v>0</v>
      </c>
      <c r="AK120" s="36">
        <f t="shared" si="68"/>
        <v>0</v>
      </c>
      <c r="AL120" s="40"/>
      <c r="AM120" s="40"/>
      <c r="AN120" s="34">
        <f t="shared" si="69"/>
        <v>0</v>
      </c>
      <c r="AO120" s="34">
        <f t="shared" si="70"/>
        <v>0</v>
      </c>
      <c r="AP120" s="34">
        <f t="shared" si="71"/>
        <v>0</v>
      </c>
      <c r="AR120" s="34">
        <f t="shared" si="72"/>
        <v>199.21138895144676</v>
      </c>
      <c r="AS120" s="34"/>
      <c r="AT120" s="29">
        <f>+VLOOKUP(C120,dotpop24!$A$10:$K$178,11,0)</f>
        <v>1128055.3500000001</v>
      </c>
      <c r="AU120" s="29">
        <f t="shared" si="73"/>
        <v>38898.460344827588</v>
      </c>
      <c r="AV120" s="29">
        <f t="shared" si="57"/>
        <v>19449.230172413794</v>
      </c>
      <c r="AW120" s="29">
        <f t="shared" si="74"/>
        <v>177067.92291213982</v>
      </c>
    </row>
    <row r="121" spans="1:49">
      <c r="A121" s="1" t="s">
        <v>22</v>
      </c>
      <c r="B121" s="1" t="s">
        <v>23</v>
      </c>
      <c r="C121" s="97">
        <v>460780208</v>
      </c>
      <c r="D121" s="1" t="s">
        <v>151</v>
      </c>
      <c r="E121" s="1" t="s">
        <v>25</v>
      </c>
      <c r="F121" s="44">
        <v>8768</v>
      </c>
      <c r="G121" s="44">
        <v>7198</v>
      </c>
      <c r="H121" s="44">
        <v>1570</v>
      </c>
      <c r="I121" s="45">
        <v>0.35199999999999998</v>
      </c>
      <c r="J121" s="45">
        <v>84.82</v>
      </c>
      <c r="K121" s="45">
        <v>9.24</v>
      </c>
      <c r="L121" s="45">
        <v>4.53</v>
      </c>
      <c r="M121" s="45">
        <v>1.85</v>
      </c>
      <c r="N121" s="35">
        <v>46</v>
      </c>
      <c r="O121" s="35" t="s">
        <v>26</v>
      </c>
      <c r="P121" s="35">
        <v>41</v>
      </c>
      <c r="Q121" s="35">
        <v>3</v>
      </c>
      <c r="R121" s="225">
        <f t="shared" si="56"/>
        <v>0.48098897427330439</v>
      </c>
      <c r="S121" s="225">
        <f>+H121/(Q121*365)</f>
        <v>1.4337899543378996</v>
      </c>
      <c r="T121" s="225"/>
      <c r="U121" s="78">
        <f t="shared" si="58"/>
        <v>17.17945205479452</v>
      </c>
      <c r="V121" s="78">
        <f t="shared" si="59"/>
        <v>0</v>
      </c>
      <c r="W121" s="36">
        <f t="shared" si="60"/>
        <v>41</v>
      </c>
      <c r="X121" s="36">
        <f t="shared" si="61"/>
        <v>3</v>
      </c>
      <c r="Y121" s="40">
        <f>IF(B121="Public", 'synthèse v2'!$F$62/1000, IF(B121="Privé non lucratif",'synthèse v2'!$F$61/1000, IF(B121="Privé", 'synthèse v2'!$F$60/1000, "")))</f>
        <v>43.762959354365371</v>
      </c>
      <c r="Z121" s="40">
        <f t="shared" si="38"/>
        <v>21.881479677182686</v>
      </c>
      <c r="AA121" s="40">
        <f t="shared" si="62"/>
        <v>17.17945205479452</v>
      </c>
      <c r="AB121" s="40">
        <f t="shared" si="63"/>
        <v>0</v>
      </c>
      <c r="AC121" s="34">
        <f t="shared" si="64"/>
        <v>751.82366200424121</v>
      </c>
      <c r="AD121" s="34">
        <f t="shared" si="65"/>
        <v>0</v>
      </c>
      <c r="AE121" s="34">
        <f t="shared" si="66"/>
        <v>751.82366200424121</v>
      </c>
      <c r="AF121" s="36">
        <v>0</v>
      </c>
      <c r="AG121" s="36">
        <v>0</v>
      </c>
      <c r="AH121" s="39">
        <v>0</v>
      </c>
      <c r="AI121" s="39">
        <v>0</v>
      </c>
      <c r="AJ121" s="36">
        <f t="shared" si="67"/>
        <v>0</v>
      </c>
      <c r="AK121" s="36">
        <f t="shared" si="68"/>
        <v>0</v>
      </c>
      <c r="AL121" s="40"/>
      <c r="AM121" s="40"/>
      <c r="AN121" s="34">
        <f t="shared" si="69"/>
        <v>0</v>
      </c>
      <c r="AO121" s="34">
        <f t="shared" si="70"/>
        <v>0</v>
      </c>
      <c r="AP121" s="34">
        <f t="shared" si="71"/>
        <v>0</v>
      </c>
      <c r="AR121" s="34">
        <f t="shared" si="72"/>
        <v>751.82366200424121</v>
      </c>
      <c r="AS121" s="34"/>
      <c r="AT121" s="29">
        <f>+VLOOKUP(C121,dotpop24!$A$10:$K$178,11,0)</f>
        <v>1930025.66</v>
      </c>
      <c r="AU121" s="29">
        <f t="shared" si="73"/>
        <v>45412.368470588233</v>
      </c>
      <c r="AV121" s="29">
        <f t="shared" si="57"/>
        <v>22706.184235294117</v>
      </c>
      <c r="AW121" s="29">
        <f t="shared" si="74"/>
        <v>780159.60683513293</v>
      </c>
    </row>
    <row r="122" spans="1:49">
      <c r="A122" s="1" t="s">
        <v>22</v>
      </c>
      <c r="B122" s="1" t="s">
        <v>23</v>
      </c>
      <c r="C122" s="97">
        <v>460780216</v>
      </c>
      <c r="D122" s="1" t="s">
        <v>152</v>
      </c>
      <c r="E122" s="1" t="s">
        <v>25</v>
      </c>
      <c r="F122" s="44">
        <v>2027</v>
      </c>
      <c r="G122" s="44">
        <v>0</v>
      </c>
      <c r="H122" s="44">
        <v>2027</v>
      </c>
      <c r="I122" s="45">
        <v>0.48699999999999999</v>
      </c>
      <c r="J122" s="45">
        <v>62.07</v>
      </c>
      <c r="K122" s="45">
        <v>5.95</v>
      </c>
      <c r="L122" s="45">
        <v>2.02</v>
      </c>
      <c r="M122" s="45">
        <v>7.54</v>
      </c>
      <c r="N122" s="35">
        <v>46</v>
      </c>
      <c r="O122" s="35" t="s">
        <v>26</v>
      </c>
      <c r="P122" s="35">
        <v>0</v>
      </c>
      <c r="Q122" s="35">
        <v>10</v>
      </c>
      <c r="R122" s="225"/>
      <c r="S122" s="225">
        <f>+H122/(Q122*365)</f>
        <v>0.55534246575342461</v>
      </c>
      <c r="T122" s="225"/>
      <c r="U122" s="78">
        <f t="shared" si="58"/>
        <v>0</v>
      </c>
      <c r="V122" s="78">
        <f t="shared" si="59"/>
        <v>3.9465753424657541</v>
      </c>
      <c r="W122" s="36">
        <f t="shared" si="60"/>
        <v>0</v>
      </c>
      <c r="X122" s="36">
        <f t="shared" si="61"/>
        <v>10</v>
      </c>
      <c r="Y122" s="40">
        <f>IF(B122="Public", 'synthèse v2'!$F$62/1000, IF(B122="Privé non lucratif",'synthèse v2'!$F$61/1000, IF(B122="Privé", 'synthèse v2'!$F$60/1000, "")))</f>
        <v>43.762959354365371</v>
      </c>
      <c r="Z122" s="40">
        <f t="shared" si="38"/>
        <v>21.881479677182686</v>
      </c>
      <c r="AA122" s="40">
        <f t="shared" si="62"/>
        <v>0</v>
      </c>
      <c r="AB122" s="40">
        <f t="shared" si="63"/>
        <v>3.9465753424657541</v>
      </c>
      <c r="AC122" s="34">
        <f t="shared" si="64"/>
        <v>0</v>
      </c>
      <c r="AD122" s="34">
        <f t="shared" si="65"/>
        <v>86.356908150634695</v>
      </c>
      <c r="AE122" s="34">
        <f t="shared" si="66"/>
        <v>86.356908150634695</v>
      </c>
      <c r="AF122" s="36">
        <v>0</v>
      </c>
      <c r="AG122" s="36">
        <v>0</v>
      </c>
      <c r="AH122" s="39">
        <v>0</v>
      </c>
      <c r="AI122" s="39">
        <v>0</v>
      </c>
      <c r="AJ122" s="36">
        <f t="shared" si="67"/>
        <v>0</v>
      </c>
      <c r="AK122" s="36">
        <f t="shared" si="68"/>
        <v>0</v>
      </c>
      <c r="AL122" s="40"/>
      <c r="AM122" s="40"/>
      <c r="AN122" s="34">
        <f t="shared" si="69"/>
        <v>0</v>
      </c>
      <c r="AO122" s="34">
        <f t="shared" si="70"/>
        <v>0</v>
      </c>
      <c r="AP122" s="34">
        <f t="shared" si="71"/>
        <v>0</v>
      </c>
      <c r="AR122" s="34">
        <f t="shared" si="72"/>
        <v>86.356908150634695</v>
      </c>
      <c r="AS122" s="34"/>
      <c r="AT122" s="29">
        <f>+VLOOKUP(C122,dotpop24!$A$10:$K$178,11,0)</f>
        <v>490011.85</v>
      </c>
      <c r="AU122" s="29">
        <f t="shared" si="73"/>
        <v>98002.37</v>
      </c>
      <c r="AV122" s="29">
        <f t="shared" si="57"/>
        <v>49001.184999999998</v>
      </c>
      <c r="AW122" s="29">
        <f t="shared" si="74"/>
        <v>193386.86847260277</v>
      </c>
    </row>
    <row r="123" spans="1:49">
      <c r="A123" s="1" t="s">
        <v>30</v>
      </c>
      <c r="B123" s="1" t="s">
        <v>30</v>
      </c>
      <c r="C123" s="97">
        <v>460785900</v>
      </c>
      <c r="D123" s="1" t="s">
        <v>153</v>
      </c>
      <c r="E123" s="1" t="s">
        <v>25</v>
      </c>
      <c r="F123" s="44">
        <v>13004</v>
      </c>
      <c r="G123" s="44">
        <v>13004</v>
      </c>
      <c r="H123" s="44">
        <v>0</v>
      </c>
      <c r="I123" s="45">
        <v>0.76500000000000001</v>
      </c>
      <c r="J123" s="45">
        <v>46.5</v>
      </c>
      <c r="K123" s="45">
        <v>4</v>
      </c>
      <c r="L123" s="45">
        <v>6.88</v>
      </c>
      <c r="M123" s="45">
        <v>2.21</v>
      </c>
      <c r="N123" s="35">
        <v>46</v>
      </c>
      <c r="O123" s="35" t="s">
        <v>26</v>
      </c>
      <c r="P123" s="35">
        <v>38</v>
      </c>
      <c r="Q123" s="35">
        <v>0</v>
      </c>
      <c r="R123" s="225">
        <f t="shared" si="56"/>
        <v>0.93756308579668346</v>
      </c>
      <c r="S123" s="225"/>
      <c r="T123" s="225"/>
      <c r="U123" s="78">
        <f t="shared" si="58"/>
        <v>0</v>
      </c>
      <c r="V123" s="78">
        <f t="shared" si="59"/>
        <v>0</v>
      </c>
      <c r="W123" s="36">
        <f t="shared" si="60"/>
        <v>38</v>
      </c>
      <c r="X123" s="36">
        <f t="shared" si="61"/>
        <v>0</v>
      </c>
      <c r="Y123" s="40">
        <f>IF(B123="Public", 'synthèse v2'!$F$62/1000, IF(B123="Privé non lucratif",'synthèse v2'!$F$61/1000, IF(B123="Privé", 'synthèse v2'!$F$60/1000, "")))</f>
        <v>26.522545062955601</v>
      </c>
      <c r="Z123" s="40">
        <f t="shared" si="38"/>
        <v>13.2612725314778</v>
      </c>
      <c r="AA123" s="40">
        <f t="shared" si="62"/>
        <v>0</v>
      </c>
      <c r="AB123" s="40">
        <f t="shared" si="63"/>
        <v>0</v>
      </c>
      <c r="AC123" s="34">
        <f t="shared" si="64"/>
        <v>0</v>
      </c>
      <c r="AD123" s="34">
        <f t="shared" si="65"/>
        <v>0</v>
      </c>
      <c r="AE123" s="34">
        <f t="shared" si="66"/>
        <v>0</v>
      </c>
      <c r="AF123" s="36">
        <v>0</v>
      </c>
      <c r="AG123" s="36">
        <v>0</v>
      </c>
      <c r="AH123" s="39">
        <v>0</v>
      </c>
      <c r="AI123" s="39">
        <v>0</v>
      </c>
      <c r="AJ123" s="36">
        <f t="shared" si="67"/>
        <v>0</v>
      </c>
      <c r="AK123" s="36">
        <f t="shared" si="68"/>
        <v>0</v>
      </c>
      <c r="AL123" s="40"/>
      <c r="AM123" s="40"/>
      <c r="AN123" s="34">
        <f t="shared" si="69"/>
        <v>0</v>
      </c>
      <c r="AO123" s="34">
        <f t="shared" si="70"/>
        <v>0</v>
      </c>
      <c r="AP123" s="34">
        <f t="shared" si="71"/>
        <v>0</v>
      </c>
      <c r="AR123" s="34">
        <f t="shared" si="72"/>
        <v>0</v>
      </c>
      <c r="AS123" s="34"/>
      <c r="AT123" s="29">
        <f>+VLOOKUP(C123,dotpop24!$A$10:$K$178,11,0)</f>
        <v>588869.43000000005</v>
      </c>
      <c r="AU123" s="29">
        <f t="shared" si="73"/>
        <v>15496.563947368422</v>
      </c>
      <c r="AV123" s="29">
        <f t="shared" si="57"/>
        <v>7748.2819736842112</v>
      </c>
      <c r="AW123" s="29">
        <f t="shared" si="74"/>
        <v>0</v>
      </c>
    </row>
    <row r="124" spans="1:49">
      <c r="A124" s="1" t="s">
        <v>33</v>
      </c>
      <c r="B124" s="1" t="s">
        <v>34</v>
      </c>
      <c r="C124" s="97">
        <v>480000793</v>
      </c>
      <c r="D124" s="1" t="s">
        <v>1523</v>
      </c>
      <c r="E124" s="1" t="s">
        <v>25</v>
      </c>
      <c r="F124" s="44">
        <v>9294</v>
      </c>
      <c r="G124" s="44">
        <v>8742</v>
      </c>
      <c r="H124" s="44">
        <v>552</v>
      </c>
      <c r="I124" s="45">
        <v>0.49099999999999999</v>
      </c>
      <c r="J124" s="45">
        <v>70.84</v>
      </c>
      <c r="K124" s="45">
        <v>6.12</v>
      </c>
      <c r="L124" s="45">
        <v>3.01</v>
      </c>
      <c r="M124" s="45">
        <v>3.19</v>
      </c>
      <c r="N124" s="35">
        <v>48</v>
      </c>
      <c r="O124" s="35" t="s">
        <v>26</v>
      </c>
      <c r="P124" s="35">
        <v>30</v>
      </c>
      <c r="Q124" s="35">
        <v>3</v>
      </c>
      <c r="R124" s="225">
        <f t="shared" si="56"/>
        <v>0.79835616438356161</v>
      </c>
      <c r="S124" s="225">
        <f>+H124/(Q124*365)</f>
        <v>0.50410958904109593</v>
      </c>
      <c r="T124" s="225"/>
      <c r="U124" s="78">
        <f t="shared" si="58"/>
        <v>3.0493150684931507</v>
      </c>
      <c r="V124" s="78">
        <f t="shared" si="59"/>
        <v>1.3376712328767124</v>
      </c>
      <c r="W124" s="36">
        <f t="shared" si="60"/>
        <v>30</v>
      </c>
      <c r="X124" s="36">
        <f t="shared" si="61"/>
        <v>3</v>
      </c>
      <c r="Y124" s="40">
        <f>IF(B124="Public", 'synthèse v2'!$F$62/1000, IF(B124="Privé non lucratif",'synthèse v2'!$F$61/1000, IF(B124="Privé", 'synthèse v2'!$F$60/1000, "")))</f>
        <v>36.984345997610518</v>
      </c>
      <c r="Z124" s="40">
        <f t="shared" si="38"/>
        <v>18.492172998805259</v>
      </c>
      <c r="AA124" s="40">
        <f t="shared" si="62"/>
        <v>3.0493150684931507</v>
      </c>
      <c r="AB124" s="40">
        <f t="shared" si="63"/>
        <v>1.3376712328767124</v>
      </c>
      <c r="AC124" s="34">
        <f t="shared" si="64"/>
        <v>112.7769235488781</v>
      </c>
      <c r="AD124" s="34">
        <f t="shared" si="65"/>
        <v>24.736447853881284</v>
      </c>
      <c r="AE124" s="34">
        <f t="shared" si="66"/>
        <v>137.51337140275939</v>
      </c>
      <c r="AF124" s="36">
        <v>0</v>
      </c>
      <c r="AG124" s="36">
        <v>0</v>
      </c>
      <c r="AH124" s="39">
        <v>0</v>
      </c>
      <c r="AI124" s="39">
        <v>0</v>
      </c>
      <c r="AJ124" s="36">
        <f t="shared" si="67"/>
        <v>0</v>
      </c>
      <c r="AK124" s="36">
        <f t="shared" si="68"/>
        <v>0</v>
      </c>
      <c r="AL124" s="40"/>
      <c r="AM124" s="40"/>
      <c r="AN124" s="34">
        <f t="shared" si="69"/>
        <v>0</v>
      </c>
      <c r="AO124" s="34">
        <f t="shared" si="70"/>
        <v>0</v>
      </c>
      <c r="AP124" s="34">
        <f t="shared" si="71"/>
        <v>0</v>
      </c>
      <c r="AR124" s="34">
        <f t="shared" si="72"/>
        <v>137.51337140275939</v>
      </c>
      <c r="AS124" s="34"/>
      <c r="AT124" s="29">
        <f>+VLOOKUP(C124,dotpop24!$A$10:$K$178,11,0)</f>
        <v>931797.25</v>
      </c>
      <c r="AU124" s="29">
        <f t="shared" si="73"/>
        <v>29580.865079365078</v>
      </c>
      <c r="AV124" s="29">
        <f t="shared" si="57"/>
        <v>14790.432539682539</v>
      </c>
      <c r="AW124" s="29">
        <f t="shared" si="74"/>
        <v>109986.11375570776</v>
      </c>
    </row>
    <row r="125" spans="1:49">
      <c r="A125" s="1" t="s">
        <v>33</v>
      </c>
      <c r="B125" s="1" t="s">
        <v>34</v>
      </c>
      <c r="C125" s="97">
        <v>480000835</v>
      </c>
      <c r="D125" s="1" t="s">
        <v>155</v>
      </c>
      <c r="E125" s="1" t="s">
        <v>25</v>
      </c>
      <c r="F125" s="44">
        <v>8700</v>
      </c>
      <c r="G125" s="44">
        <v>8700</v>
      </c>
      <c r="H125" s="44">
        <v>0</v>
      </c>
      <c r="I125" s="45">
        <v>0</v>
      </c>
      <c r="J125" s="45">
        <v>46.78</v>
      </c>
      <c r="K125" s="45">
        <v>6.05</v>
      </c>
      <c r="L125" s="45">
        <v>4.6399999999999997</v>
      </c>
      <c r="M125" s="45">
        <v>1.59</v>
      </c>
      <c r="N125" s="35">
        <v>48</v>
      </c>
      <c r="O125" s="35" t="s">
        <v>26</v>
      </c>
      <c r="P125" s="35">
        <v>28</v>
      </c>
      <c r="Q125" s="35">
        <v>0</v>
      </c>
      <c r="R125" s="225">
        <f t="shared" si="56"/>
        <v>0.85127201565557731</v>
      </c>
      <c r="S125" s="225"/>
      <c r="T125" s="225"/>
      <c r="U125" s="78">
        <f t="shared" si="58"/>
        <v>1.3643835616438356</v>
      </c>
      <c r="V125" s="78">
        <f t="shared" si="59"/>
        <v>0</v>
      </c>
      <c r="W125" s="36">
        <f t="shared" si="60"/>
        <v>28</v>
      </c>
      <c r="X125" s="36">
        <f t="shared" si="61"/>
        <v>0</v>
      </c>
      <c r="Y125" s="40">
        <f>IF(B125="Public", 'synthèse v2'!$F$62/1000, IF(B125="Privé non lucratif",'synthèse v2'!$F$61/1000, IF(B125="Privé", 'synthèse v2'!$F$60/1000, "")))</f>
        <v>36.984345997610518</v>
      </c>
      <c r="Z125" s="40">
        <f t="shared" si="38"/>
        <v>18.492172998805259</v>
      </c>
      <c r="AA125" s="40">
        <f t="shared" si="62"/>
        <v>1.3643835616438356</v>
      </c>
      <c r="AB125" s="40">
        <f t="shared" si="63"/>
        <v>0</v>
      </c>
      <c r="AC125" s="34">
        <f t="shared" si="64"/>
        <v>50.460833717287777</v>
      </c>
      <c r="AD125" s="34">
        <f t="shared" si="65"/>
        <v>0</v>
      </c>
      <c r="AE125" s="34">
        <f t="shared" si="66"/>
        <v>50.460833717287777</v>
      </c>
      <c r="AF125" s="36">
        <v>0</v>
      </c>
      <c r="AG125" s="36">
        <v>0</v>
      </c>
      <c r="AH125" s="39">
        <v>0</v>
      </c>
      <c r="AI125" s="39">
        <v>0</v>
      </c>
      <c r="AJ125" s="36">
        <f t="shared" si="67"/>
        <v>0</v>
      </c>
      <c r="AK125" s="36">
        <f t="shared" si="68"/>
        <v>0</v>
      </c>
      <c r="AL125" s="40"/>
      <c r="AM125" s="40"/>
      <c r="AN125" s="34">
        <f t="shared" si="69"/>
        <v>0</v>
      </c>
      <c r="AO125" s="34">
        <f t="shared" si="70"/>
        <v>0</v>
      </c>
      <c r="AP125" s="34">
        <f t="shared" si="71"/>
        <v>0</v>
      </c>
      <c r="AR125" s="34">
        <f t="shared" si="72"/>
        <v>50.460833717287777</v>
      </c>
      <c r="AS125" s="34"/>
      <c r="AT125" s="29">
        <f>+VLOOKUP(C125,dotpop24!$A$10:$K$178,11,0)</f>
        <v>1077937.2</v>
      </c>
      <c r="AU125" s="29">
        <f t="shared" si="73"/>
        <v>38497.757142857139</v>
      </c>
      <c r="AV125" s="29">
        <f t="shared" si="57"/>
        <v>19248.87857142857</v>
      </c>
      <c r="AW125" s="29">
        <f t="shared" si="74"/>
        <v>52525.707005870834</v>
      </c>
    </row>
    <row r="126" spans="1:49">
      <c r="A126" s="1" t="s">
        <v>22</v>
      </c>
      <c r="B126" s="1" t="s">
        <v>23</v>
      </c>
      <c r="C126" s="97">
        <v>480780097</v>
      </c>
      <c r="D126" s="1" t="s">
        <v>156</v>
      </c>
      <c r="E126" s="1" t="s">
        <v>25</v>
      </c>
      <c r="F126" s="44">
        <v>7098</v>
      </c>
      <c r="G126" s="44">
        <v>7098</v>
      </c>
      <c r="H126" s="44">
        <v>0</v>
      </c>
      <c r="I126" s="45">
        <v>0.39500000000000002</v>
      </c>
      <c r="J126" s="45">
        <v>82.37</v>
      </c>
      <c r="K126" s="45">
        <v>9.26</v>
      </c>
      <c r="L126" s="45">
        <v>4.16</v>
      </c>
      <c r="M126" s="45">
        <v>0.4</v>
      </c>
      <c r="N126" s="35">
        <v>48</v>
      </c>
      <c r="O126" s="35" t="s">
        <v>26</v>
      </c>
      <c r="P126" s="35">
        <v>14</v>
      </c>
      <c r="Q126" s="35">
        <v>0</v>
      </c>
      <c r="R126" s="225">
        <f t="shared" si="56"/>
        <v>1.3890410958904109</v>
      </c>
      <c r="S126" s="225"/>
      <c r="T126" s="225"/>
      <c r="U126" s="78">
        <f t="shared" si="58"/>
        <v>0</v>
      </c>
      <c r="V126" s="78">
        <f t="shared" si="59"/>
        <v>0</v>
      </c>
      <c r="W126" s="36">
        <f t="shared" si="60"/>
        <v>14</v>
      </c>
      <c r="X126" s="36">
        <f t="shared" si="61"/>
        <v>0</v>
      </c>
      <c r="Y126" s="40">
        <f>IF(B126="Public", 'synthèse v2'!$F$62/1000, IF(B126="Privé non lucratif",'synthèse v2'!$F$61/1000, IF(B126="Privé", 'synthèse v2'!$F$60/1000, "")))</f>
        <v>43.762959354365371</v>
      </c>
      <c r="Z126" s="40">
        <f t="shared" si="38"/>
        <v>21.881479677182686</v>
      </c>
      <c r="AA126" s="40">
        <f t="shared" si="62"/>
        <v>0</v>
      </c>
      <c r="AB126" s="40">
        <f t="shared" si="63"/>
        <v>0</v>
      </c>
      <c r="AC126" s="34">
        <f t="shared" si="64"/>
        <v>0</v>
      </c>
      <c r="AD126" s="34">
        <f t="shared" si="65"/>
        <v>0</v>
      </c>
      <c r="AE126" s="34">
        <f t="shared" si="66"/>
        <v>0</v>
      </c>
      <c r="AF126" s="36">
        <v>0</v>
      </c>
      <c r="AG126" s="36">
        <v>0</v>
      </c>
      <c r="AH126" s="39">
        <v>0</v>
      </c>
      <c r="AI126" s="39">
        <v>0</v>
      </c>
      <c r="AJ126" s="36">
        <f t="shared" si="67"/>
        <v>0</v>
      </c>
      <c r="AK126" s="36">
        <f t="shared" si="68"/>
        <v>0</v>
      </c>
      <c r="AL126" s="40"/>
      <c r="AM126" s="40"/>
      <c r="AN126" s="34">
        <f t="shared" si="69"/>
        <v>0</v>
      </c>
      <c r="AO126" s="34">
        <f t="shared" si="70"/>
        <v>0</v>
      </c>
      <c r="AP126" s="34">
        <f t="shared" si="71"/>
        <v>0</v>
      </c>
      <c r="AR126" s="34">
        <f t="shared" si="72"/>
        <v>0</v>
      </c>
      <c r="AS126" s="34"/>
      <c r="AT126" s="29">
        <f>+VLOOKUP(C126,dotpop24!$A$10:$K$178,11,0)</f>
        <v>986037.99</v>
      </c>
      <c r="AU126" s="29">
        <f t="shared" si="73"/>
        <v>70431.285000000003</v>
      </c>
      <c r="AV126" s="29">
        <f t="shared" si="57"/>
        <v>35215.642500000002</v>
      </c>
      <c r="AW126" s="29">
        <f t="shared" si="74"/>
        <v>0</v>
      </c>
    </row>
    <row r="127" spans="1:49">
      <c r="A127" s="1" t="s">
        <v>22</v>
      </c>
      <c r="B127" s="1" t="s">
        <v>23</v>
      </c>
      <c r="C127" s="97">
        <v>480780139</v>
      </c>
      <c r="D127" s="1" t="s">
        <v>157</v>
      </c>
      <c r="E127" s="1" t="s">
        <v>25</v>
      </c>
      <c r="F127" s="44">
        <v>3475</v>
      </c>
      <c r="G127" s="44">
        <v>3436</v>
      </c>
      <c r="H127" s="44">
        <v>39</v>
      </c>
      <c r="I127" s="45">
        <v>0.315</v>
      </c>
      <c r="J127" s="45">
        <v>81.02</v>
      </c>
      <c r="K127" s="45">
        <v>8.93</v>
      </c>
      <c r="L127" s="45">
        <v>2.78</v>
      </c>
      <c r="M127" s="45">
        <v>0.9</v>
      </c>
      <c r="N127" s="35">
        <v>48</v>
      </c>
      <c r="O127" s="35" t="s">
        <v>26</v>
      </c>
      <c r="P127" s="35">
        <v>15</v>
      </c>
      <c r="Q127" s="35">
        <v>0</v>
      </c>
      <c r="R127" s="225">
        <f t="shared" si="56"/>
        <v>0.62757990867579905</v>
      </c>
      <c r="S127" s="225"/>
      <c r="T127" s="225"/>
      <c r="U127" s="78">
        <f t="shared" si="58"/>
        <v>4.0863013698630137</v>
      </c>
      <c r="V127" s="78">
        <f t="shared" si="59"/>
        <v>0</v>
      </c>
      <c r="W127" s="36">
        <f t="shared" si="60"/>
        <v>15</v>
      </c>
      <c r="X127" s="36">
        <f t="shared" si="61"/>
        <v>0</v>
      </c>
      <c r="Y127" s="40">
        <f>IF(B127="Public", 'synthèse v2'!$F$62/1000, IF(B127="Privé non lucratif",'synthèse v2'!$F$61/1000, IF(B127="Privé", 'synthèse v2'!$F$60/1000, "")))</f>
        <v>43.762959354365371</v>
      </c>
      <c r="Z127" s="40">
        <f t="shared" si="38"/>
        <v>21.881479677182686</v>
      </c>
      <c r="AA127" s="40">
        <f t="shared" si="62"/>
        <v>4.0863013698630137</v>
      </c>
      <c r="AB127" s="40">
        <f t="shared" si="63"/>
        <v>0</v>
      </c>
      <c r="AC127" s="34">
        <f t="shared" si="64"/>
        <v>178.82864075900261</v>
      </c>
      <c r="AD127" s="34">
        <f t="shared" si="65"/>
        <v>0</v>
      </c>
      <c r="AE127" s="34">
        <f t="shared" si="66"/>
        <v>178.82864075900261</v>
      </c>
      <c r="AF127" s="36">
        <v>0</v>
      </c>
      <c r="AG127" s="36">
        <v>0</v>
      </c>
      <c r="AH127" s="39">
        <v>0</v>
      </c>
      <c r="AI127" s="39">
        <v>0</v>
      </c>
      <c r="AJ127" s="36">
        <f t="shared" si="67"/>
        <v>0</v>
      </c>
      <c r="AK127" s="36">
        <f t="shared" si="68"/>
        <v>0</v>
      </c>
      <c r="AL127" s="40"/>
      <c r="AM127" s="40"/>
      <c r="AN127" s="34">
        <f t="shared" si="69"/>
        <v>0</v>
      </c>
      <c r="AO127" s="34">
        <f t="shared" si="70"/>
        <v>0</v>
      </c>
      <c r="AP127" s="34">
        <f t="shared" si="71"/>
        <v>0</v>
      </c>
      <c r="AR127" s="34">
        <f t="shared" si="72"/>
        <v>178.82864075900261</v>
      </c>
      <c r="AS127" s="34"/>
      <c r="AT127" s="29">
        <f>+VLOOKUP(C127,dotpop24!$A$10:$K$178,11,0)</f>
        <v>365113.88</v>
      </c>
      <c r="AU127" s="29">
        <f t="shared" si="73"/>
        <v>24340.925333333333</v>
      </c>
      <c r="AV127" s="29">
        <f t="shared" si="57"/>
        <v>12170.462666666666</v>
      </c>
      <c r="AW127" s="29">
        <f t="shared" si="74"/>
        <v>99464.356533333324</v>
      </c>
    </row>
    <row r="128" spans="1:49">
      <c r="A128" s="1" t="s">
        <v>22</v>
      </c>
      <c r="B128" s="1" t="s">
        <v>23</v>
      </c>
      <c r="C128" s="97">
        <v>480780154</v>
      </c>
      <c r="D128" s="1" t="s">
        <v>158</v>
      </c>
      <c r="E128" s="1" t="s">
        <v>25</v>
      </c>
      <c r="F128" s="44">
        <v>5919</v>
      </c>
      <c r="G128" s="44">
        <v>5906</v>
      </c>
      <c r="H128" s="44">
        <v>13</v>
      </c>
      <c r="I128" s="45">
        <v>0.44600000000000001</v>
      </c>
      <c r="J128" s="45">
        <v>77.569999999999993</v>
      </c>
      <c r="K128" s="45">
        <v>8.99</v>
      </c>
      <c r="L128" s="45">
        <v>2.7</v>
      </c>
      <c r="M128" s="45">
        <v>0.62</v>
      </c>
      <c r="N128" s="35">
        <v>48</v>
      </c>
      <c r="O128" s="35" t="s">
        <v>26</v>
      </c>
      <c r="P128" s="35">
        <v>20</v>
      </c>
      <c r="Q128" s="35">
        <v>0</v>
      </c>
      <c r="R128" s="225">
        <f t="shared" si="56"/>
        <v>0.80904109589041096</v>
      </c>
      <c r="S128" s="225"/>
      <c r="T128" s="225"/>
      <c r="U128" s="78">
        <f t="shared" si="58"/>
        <v>1.8191780821917809</v>
      </c>
      <c r="V128" s="78">
        <f t="shared" si="59"/>
        <v>0</v>
      </c>
      <c r="W128" s="36">
        <f t="shared" si="60"/>
        <v>20</v>
      </c>
      <c r="X128" s="36">
        <f t="shared" si="61"/>
        <v>0</v>
      </c>
      <c r="Y128" s="40">
        <f>IF(B128="Public", 'synthèse v2'!$F$62/1000, IF(B128="Privé non lucratif",'synthèse v2'!$F$61/1000, IF(B128="Privé", 'synthèse v2'!$F$60/1000, "")))</f>
        <v>43.762959354365371</v>
      </c>
      <c r="Z128" s="40">
        <f t="shared" si="38"/>
        <v>21.881479677182686</v>
      </c>
      <c r="AA128" s="40">
        <f t="shared" si="62"/>
        <v>1.8191780821917809</v>
      </c>
      <c r="AB128" s="40">
        <f t="shared" si="63"/>
        <v>0</v>
      </c>
      <c r="AC128" s="34">
        <f t="shared" si="64"/>
        <v>79.612616469311249</v>
      </c>
      <c r="AD128" s="34">
        <f t="shared" si="65"/>
        <v>0</v>
      </c>
      <c r="AE128" s="34">
        <f t="shared" si="66"/>
        <v>79.612616469311249</v>
      </c>
      <c r="AF128" s="36">
        <v>0</v>
      </c>
      <c r="AG128" s="36">
        <v>0</v>
      </c>
      <c r="AH128" s="39">
        <v>0</v>
      </c>
      <c r="AI128" s="39">
        <v>0</v>
      </c>
      <c r="AJ128" s="36">
        <f t="shared" si="67"/>
        <v>0</v>
      </c>
      <c r="AK128" s="36">
        <f t="shared" si="68"/>
        <v>0</v>
      </c>
      <c r="AL128" s="40"/>
      <c r="AM128" s="40"/>
      <c r="AN128" s="34">
        <f t="shared" si="69"/>
        <v>0</v>
      </c>
      <c r="AO128" s="34">
        <f t="shared" si="70"/>
        <v>0</v>
      </c>
      <c r="AP128" s="34">
        <f t="shared" si="71"/>
        <v>0</v>
      </c>
      <c r="AR128" s="34">
        <f t="shared" si="72"/>
        <v>79.612616469311249</v>
      </c>
      <c r="AS128" s="34"/>
      <c r="AT128" s="29">
        <f>+VLOOKUP(C128,dotpop24!$A$10:$K$178,11,0)</f>
        <v>776907.84</v>
      </c>
      <c r="AU128" s="29">
        <f t="shared" si="73"/>
        <v>38845.392</v>
      </c>
      <c r="AV128" s="29">
        <f t="shared" si="57"/>
        <v>19422.696</v>
      </c>
      <c r="AW128" s="29">
        <f t="shared" si="74"/>
        <v>70666.685720547946</v>
      </c>
    </row>
    <row r="129" spans="1:49">
      <c r="A129" s="1" t="s">
        <v>33</v>
      </c>
      <c r="B129" s="1" t="s">
        <v>34</v>
      </c>
      <c r="C129" s="97">
        <v>480780212</v>
      </c>
      <c r="D129" s="1" t="s">
        <v>159</v>
      </c>
      <c r="E129" s="1" t="s">
        <v>25</v>
      </c>
      <c r="F129" s="44">
        <v>10874</v>
      </c>
      <c r="G129" s="44">
        <v>10874</v>
      </c>
      <c r="H129" s="44">
        <v>0</v>
      </c>
      <c r="I129" s="45">
        <v>0.82499999999999996</v>
      </c>
      <c r="J129" s="45">
        <v>48.07</v>
      </c>
      <c r="K129" s="45">
        <v>4.12</v>
      </c>
      <c r="L129" s="45">
        <v>3.15</v>
      </c>
      <c r="M129" s="45">
        <v>2.4500000000000002</v>
      </c>
      <c r="N129" s="35">
        <v>48</v>
      </c>
      <c r="O129" s="35" t="s">
        <v>26</v>
      </c>
      <c r="P129" s="35">
        <v>37</v>
      </c>
      <c r="Q129" s="35">
        <v>0</v>
      </c>
      <c r="R129" s="225">
        <f t="shared" si="56"/>
        <v>0.80518326545723806</v>
      </c>
      <c r="S129" s="225"/>
      <c r="T129" s="225"/>
      <c r="U129" s="78">
        <f t="shared" si="58"/>
        <v>3.5082191780821916</v>
      </c>
      <c r="V129" s="78">
        <f t="shared" si="59"/>
        <v>0</v>
      </c>
      <c r="W129" s="36">
        <f t="shared" si="60"/>
        <v>37</v>
      </c>
      <c r="X129" s="36">
        <f t="shared" si="61"/>
        <v>0</v>
      </c>
      <c r="Y129" s="40">
        <f>IF(B129="Public", 'synthèse v2'!$F$62/1000, IF(B129="Privé non lucratif",'synthèse v2'!$F$61/1000, IF(B129="Privé", 'synthèse v2'!$F$60/1000, "")))</f>
        <v>36.984345997610518</v>
      </c>
      <c r="Z129" s="40">
        <f t="shared" si="38"/>
        <v>18.492172998805259</v>
      </c>
      <c r="AA129" s="40">
        <f t="shared" si="62"/>
        <v>3.5082191780821916</v>
      </c>
      <c r="AB129" s="40">
        <f t="shared" si="63"/>
        <v>0</v>
      </c>
      <c r="AC129" s="34">
        <f t="shared" si="64"/>
        <v>129.74919191764457</v>
      </c>
      <c r="AD129" s="34">
        <f t="shared" si="65"/>
        <v>0</v>
      </c>
      <c r="AE129" s="34">
        <f t="shared" si="66"/>
        <v>129.74919191764457</v>
      </c>
      <c r="AF129" s="36">
        <v>0</v>
      </c>
      <c r="AG129" s="36">
        <v>0</v>
      </c>
      <c r="AH129" s="39">
        <v>0</v>
      </c>
      <c r="AI129" s="39">
        <v>0</v>
      </c>
      <c r="AJ129" s="36">
        <f t="shared" si="67"/>
        <v>0</v>
      </c>
      <c r="AK129" s="36">
        <f t="shared" si="68"/>
        <v>0</v>
      </c>
      <c r="AL129" s="40"/>
      <c r="AM129" s="40"/>
      <c r="AN129" s="34">
        <f t="shared" si="69"/>
        <v>0</v>
      </c>
      <c r="AO129" s="34">
        <f t="shared" si="70"/>
        <v>0</v>
      </c>
      <c r="AP129" s="34">
        <f t="shared" si="71"/>
        <v>0</v>
      </c>
      <c r="AR129" s="34">
        <f t="shared" si="72"/>
        <v>129.74919191764457</v>
      </c>
      <c r="AS129" s="34"/>
      <c r="AT129" s="29">
        <f>+VLOOKUP(C129,dotpop24!$A$10:$K$178,11,0)</f>
        <v>980653.45</v>
      </c>
      <c r="AU129" s="29">
        <f t="shared" si="73"/>
        <v>26504.147297297295</v>
      </c>
      <c r="AV129" s="29">
        <f t="shared" si="57"/>
        <v>13252.073648648648</v>
      </c>
      <c r="AW129" s="29">
        <f t="shared" si="74"/>
        <v>92982.357847093663</v>
      </c>
    </row>
    <row r="130" spans="1:49">
      <c r="A130" s="1" t="s">
        <v>33</v>
      </c>
      <c r="B130" s="1" t="s">
        <v>34</v>
      </c>
      <c r="C130" s="97">
        <v>480780287</v>
      </c>
      <c r="D130" s="1" t="s">
        <v>160</v>
      </c>
      <c r="E130" s="1" t="s">
        <v>25</v>
      </c>
      <c r="F130" s="44">
        <v>12266</v>
      </c>
      <c r="G130" s="44">
        <v>12266</v>
      </c>
      <c r="H130" s="44">
        <v>0</v>
      </c>
      <c r="I130" s="45">
        <v>0.375</v>
      </c>
      <c r="J130" s="45">
        <v>78.83</v>
      </c>
      <c r="K130" s="45">
        <v>10.76</v>
      </c>
      <c r="L130" s="45">
        <v>3.83</v>
      </c>
      <c r="M130" s="45">
        <v>0.85</v>
      </c>
      <c r="N130" s="35">
        <v>48</v>
      </c>
      <c r="O130" s="35" t="s">
        <v>26</v>
      </c>
      <c r="P130" s="35">
        <v>40</v>
      </c>
      <c r="Q130" s="35">
        <v>0</v>
      </c>
      <c r="R130" s="225">
        <f t="shared" si="56"/>
        <v>0.8401369863013699</v>
      </c>
      <c r="S130" s="225"/>
      <c r="T130" s="225"/>
      <c r="U130" s="78">
        <f t="shared" si="58"/>
        <v>2.3945205479452056</v>
      </c>
      <c r="V130" s="78">
        <f t="shared" si="59"/>
        <v>0</v>
      </c>
      <c r="W130" s="36">
        <f t="shared" si="60"/>
        <v>40</v>
      </c>
      <c r="X130" s="36">
        <f t="shared" si="61"/>
        <v>0</v>
      </c>
      <c r="Y130" s="40">
        <f>IF(B130="Public", 'synthèse v2'!$F$62/1000, IF(B130="Privé non lucratif",'synthèse v2'!$F$61/1000, IF(B130="Privé", 'synthèse v2'!$F$60/1000, "")))</f>
        <v>36.984345997610518</v>
      </c>
      <c r="Z130" s="40">
        <f t="shared" si="38"/>
        <v>18.492172998805259</v>
      </c>
      <c r="AA130" s="40">
        <f t="shared" si="62"/>
        <v>2.3945205479452056</v>
      </c>
      <c r="AB130" s="40">
        <f t="shared" si="63"/>
        <v>0</v>
      </c>
      <c r="AC130" s="34">
        <f t="shared" si="64"/>
        <v>88.559776443593407</v>
      </c>
      <c r="AD130" s="34">
        <f t="shared" si="65"/>
        <v>0</v>
      </c>
      <c r="AE130" s="34">
        <f t="shared" si="66"/>
        <v>88.559776443593407</v>
      </c>
      <c r="AF130" s="36">
        <v>0</v>
      </c>
      <c r="AG130" s="36">
        <v>0</v>
      </c>
      <c r="AH130" s="39">
        <v>0</v>
      </c>
      <c r="AI130" s="39">
        <v>0</v>
      </c>
      <c r="AJ130" s="36">
        <f t="shared" si="67"/>
        <v>0</v>
      </c>
      <c r="AK130" s="36">
        <f t="shared" si="68"/>
        <v>0</v>
      </c>
      <c r="AL130" s="40"/>
      <c r="AM130" s="40"/>
      <c r="AN130" s="34">
        <f t="shared" si="69"/>
        <v>0</v>
      </c>
      <c r="AO130" s="34">
        <f t="shared" si="70"/>
        <v>0</v>
      </c>
      <c r="AP130" s="34">
        <f t="shared" si="71"/>
        <v>0</v>
      </c>
      <c r="AR130" s="34">
        <f t="shared" si="72"/>
        <v>88.559776443593407</v>
      </c>
      <c r="AS130" s="34"/>
      <c r="AT130" s="29">
        <f>+VLOOKUP(C130,dotpop24!$A$10:$K$178,11,0)</f>
        <v>974982.47</v>
      </c>
      <c r="AU130" s="29">
        <f t="shared" si="73"/>
        <v>24374.561750000001</v>
      </c>
      <c r="AV130" s="29">
        <f t="shared" si="57"/>
        <v>12187.280875</v>
      </c>
      <c r="AW130" s="29">
        <f t="shared" si="74"/>
        <v>58365.388957534255</v>
      </c>
    </row>
    <row r="131" spans="1:49">
      <c r="A131" s="1" t="s">
        <v>33</v>
      </c>
      <c r="B131" s="1" t="s">
        <v>34</v>
      </c>
      <c r="C131" s="97">
        <v>480783034</v>
      </c>
      <c r="D131" s="1" t="s">
        <v>162</v>
      </c>
      <c r="E131" s="1" t="s">
        <v>25</v>
      </c>
      <c r="F131" s="44">
        <v>19299</v>
      </c>
      <c r="G131" s="44">
        <v>14809</v>
      </c>
      <c r="H131" s="44">
        <v>4490</v>
      </c>
      <c r="I131" s="45">
        <v>0.53300000000000003</v>
      </c>
      <c r="J131" s="45">
        <v>63.47</v>
      </c>
      <c r="K131" s="45">
        <v>7.41</v>
      </c>
      <c r="L131" s="45">
        <v>2.69</v>
      </c>
      <c r="M131" s="45">
        <v>2.44</v>
      </c>
      <c r="N131" s="35">
        <v>48</v>
      </c>
      <c r="O131" s="35" t="s">
        <v>26</v>
      </c>
      <c r="P131" s="35">
        <v>45</v>
      </c>
      <c r="Q131" s="35">
        <v>17</v>
      </c>
      <c r="R131" s="225">
        <f t="shared" si="56"/>
        <v>0.90161339421613396</v>
      </c>
      <c r="S131" s="225">
        <f>+H131/(Q131*365)</f>
        <v>0.72360999194198228</v>
      </c>
      <c r="T131" s="225"/>
      <c r="U131" s="78">
        <f t="shared" si="58"/>
        <v>0</v>
      </c>
      <c r="V131" s="78">
        <f t="shared" si="59"/>
        <v>3.8486301369863014</v>
      </c>
      <c r="W131" s="36">
        <f t="shared" si="60"/>
        <v>45</v>
      </c>
      <c r="X131" s="36">
        <f t="shared" si="61"/>
        <v>17</v>
      </c>
      <c r="Y131" s="40">
        <f>IF(B131="Public", 'synthèse v2'!$F$62/1000, IF(B131="Privé non lucratif",'synthèse v2'!$F$61/1000, IF(B131="Privé", 'synthèse v2'!$F$60/1000, "")))</f>
        <v>36.984345997610518</v>
      </c>
      <c r="Z131" s="40">
        <f t="shared" si="38"/>
        <v>18.492172998805259</v>
      </c>
      <c r="AA131" s="40">
        <f t="shared" si="62"/>
        <v>0</v>
      </c>
      <c r="AB131" s="40">
        <f t="shared" si="63"/>
        <v>3.8486301369863014</v>
      </c>
      <c r="AC131" s="34">
        <f t="shared" si="64"/>
        <v>0</v>
      </c>
      <c r="AD131" s="34">
        <f t="shared" si="65"/>
        <v>71.169534301566273</v>
      </c>
      <c r="AE131" s="34">
        <f t="shared" si="66"/>
        <v>71.169534301566273</v>
      </c>
      <c r="AF131" s="36">
        <v>0</v>
      </c>
      <c r="AG131" s="36">
        <v>0</v>
      </c>
      <c r="AH131" s="39">
        <v>0</v>
      </c>
      <c r="AI131" s="39">
        <v>0</v>
      </c>
      <c r="AJ131" s="36">
        <f t="shared" si="67"/>
        <v>0</v>
      </c>
      <c r="AK131" s="36">
        <f t="shared" si="68"/>
        <v>0</v>
      </c>
      <c r="AL131" s="40"/>
      <c r="AM131" s="40"/>
      <c r="AN131" s="34">
        <f t="shared" si="69"/>
        <v>0</v>
      </c>
      <c r="AO131" s="34">
        <f t="shared" si="70"/>
        <v>0</v>
      </c>
      <c r="AP131" s="34">
        <f t="shared" si="71"/>
        <v>0</v>
      </c>
      <c r="AR131" s="34">
        <f t="shared" si="72"/>
        <v>71.169534301566273</v>
      </c>
      <c r="AS131" s="34"/>
      <c r="AT131" s="29">
        <f>+VLOOKUP(C131,dotpop24!$A$10:$K$178,11,0)</f>
        <v>1891406.27</v>
      </c>
      <c r="AU131" s="29">
        <f t="shared" si="73"/>
        <v>35353.388224299066</v>
      </c>
      <c r="AV131" s="29">
        <f t="shared" si="57"/>
        <v>17676.694112149533</v>
      </c>
      <c r="AW131" s="29">
        <f t="shared" si="74"/>
        <v>68031.057682307001</v>
      </c>
    </row>
    <row r="132" spans="1:49">
      <c r="A132" s="1" t="s">
        <v>30</v>
      </c>
      <c r="B132" s="1" t="s">
        <v>30</v>
      </c>
      <c r="C132" s="97">
        <v>650002579</v>
      </c>
      <c r="D132" s="1" t="s">
        <v>163</v>
      </c>
      <c r="E132" s="1" t="s">
        <v>25</v>
      </c>
      <c r="F132" s="44">
        <v>5957</v>
      </c>
      <c r="G132" s="44">
        <v>4685</v>
      </c>
      <c r="H132" s="44">
        <v>1272</v>
      </c>
      <c r="I132" s="45">
        <v>0.46800000000000003</v>
      </c>
      <c r="J132" s="45">
        <v>78.680000000000007</v>
      </c>
      <c r="K132" s="45">
        <v>8.33</v>
      </c>
      <c r="L132" s="45">
        <v>3.4</v>
      </c>
      <c r="M132" s="45">
        <v>1.3</v>
      </c>
      <c r="N132" s="35">
        <v>65</v>
      </c>
      <c r="O132" s="35" t="s">
        <v>26</v>
      </c>
      <c r="P132" s="35">
        <v>30</v>
      </c>
      <c r="Q132" s="35">
        <v>12</v>
      </c>
      <c r="R132" s="225">
        <f t="shared" si="56"/>
        <v>0.42785388127853879</v>
      </c>
      <c r="S132" s="225">
        <f>+H132/(Q132*365)</f>
        <v>0.29041095890410956</v>
      </c>
      <c r="T132" s="225"/>
      <c r="U132" s="78">
        <f t="shared" si="58"/>
        <v>14.164383561643836</v>
      </c>
      <c r="V132" s="78">
        <f t="shared" si="59"/>
        <v>7.9150684931506845</v>
      </c>
      <c r="W132" s="36">
        <f t="shared" si="60"/>
        <v>30</v>
      </c>
      <c r="X132" s="36">
        <f t="shared" si="61"/>
        <v>12</v>
      </c>
      <c r="Y132" s="40">
        <f>IF(B132="Public", 'synthèse v2'!$F$62/1000, IF(B132="Privé non lucratif",'synthèse v2'!$F$61/1000, IF(B132="Privé", 'synthèse v2'!$F$60/1000, "")))</f>
        <v>26.522545062955601</v>
      </c>
      <c r="Z132" s="40">
        <f t="shared" ref="Z132:Z173" si="76">+Y132/2</f>
        <v>13.2612725314778</v>
      </c>
      <c r="AA132" s="40">
        <f t="shared" si="62"/>
        <v>14.164383561643836</v>
      </c>
      <c r="AB132" s="40">
        <f t="shared" si="63"/>
        <v>7.9150684931506845</v>
      </c>
      <c r="AC132" s="34">
        <f t="shared" si="64"/>
        <v>375.6755013026862</v>
      </c>
      <c r="AD132" s="34">
        <f t="shared" si="65"/>
        <v>104.96388039298456</v>
      </c>
      <c r="AE132" s="34">
        <f t="shared" si="66"/>
        <v>480.63938169567075</v>
      </c>
      <c r="AF132" s="36">
        <v>0</v>
      </c>
      <c r="AG132" s="36">
        <v>0</v>
      </c>
      <c r="AH132" s="39">
        <v>0</v>
      </c>
      <c r="AI132" s="39">
        <v>0</v>
      </c>
      <c r="AJ132" s="36">
        <f t="shared" si="67"/>
        <v>0</v>
      </c>
      <c r="AK132" s="36">
        <f t="shared" si="68"/>
        <v>0</v>
      </c>
      <c r="AL132" s="40"/>
      <c r="AM132" s="40"/>
      <c r="AN132" s="34">
        <f t="shared" si="69"/>
        <v>0</v>
      </c>
      <c r="AO132" s="34">
        <f t="shared" si="70"/>
        <v>0</v>
      </c>
      <c r="AP132" s="34">
        <f t="shared" si="71"/>
        <v>0</v>
      </c>
      <c r="AR132" s="34">
        <f t="shared" si="72"/>
        <v>480.63938169567075</v>
      </c>
      <c r="AS132" s="34"/>
      <c r="AT132" s="29">
        <f>+VLOOKUP(C132,dotpop24!$A$10:$K$178,11,0)</f>
        <v>392916.88</v>
      </c>
      <c r="AU132" s="29">
        <f t="shared" si="73"/>
        <v>10914.357777777777</v>
      </c>
      <c r="AV132" s="29">
        <f t="shared" si="57"/>
        <v>5457.1788888888887</v>
      </c>
      <c r="AW132" s="29">
        <f t="shared" si="74"/>
        <v>197789.09457838658</v>
      </c>
    </row>
    <row r="133" spans="1:49">
      <c r="A133" s="1" t="s">
        <v>22</v>
      </c>
      <c r="B133" s="1" t="s">
        <v>23</v>
      </c>
      <c r="C133" s="97">
        <v>650780166</v>
      </c>
      <c r="D133" s="1" t="s">
        <v>165</v>
      </c>
      <c r="E133" s="1" t="s">
        <v>25</v>
      </c>
      <c r="F133" s="44">
        <v>57443</v>
      </c>
      <c r="G133" s="44">
        <v>44096</v>
      </c>
      <c r="H133" s="44">
        <v>13347</v>
      </c>
      <c r="I133" s="45">
        <v>0.51800000000000002</v>
      </c>
      <c r="J133" s="45">
        <v>63.61</v>
      </c>
      <c r="K133" s="45">
        <v>8.74</v>
      </c>
      <c r="L133" s="45">
        <v>3.36</v>
      </c>
      <c r="M133" s="45">
        <v>2.13</v>
      </c>
      <c r="N133" s="35">
        <v>65</v>
      </c>
      <c r="O133" s="35" t="s">
        <v>26</v>
      </c>
      <c r="P133" s="35">
        <v>136</v>
      </c>
      <c r="Q133" s="35">
        <v>40</v>
      </c>
      <c r="R133" s="225">
        <f t="shared" si="56"/>
        <v>0.88831587429492342</v>
      </c>
      <c r="S133" s="225">
        <f>+H133/(Q133*365)</f>
        <v>0.91417808219178087</v>
      </c>
      <c r="T133" s="225"/>
      <c r="U133" s="78">
        <f t="shared" ref="U133:U164" si="77">AJ133+AA133</f>
        <v>1.5890410958904109</v>
      </c>
      <c r="V133" s="78">
        <f t="shared" ref="V133:V164" si="78">AK133+AB133</f>
        <v>1.4328767123287671</v>
      </c>
      <c r="W133" s="36">
        <f t="shared" ref="W133:W164" si="79">IFERROR(
   IF(P133 - AF133 &gt; 0,
      P133 - AF133,
      0
   ),
   0
)</f>
        <v>136</v>
      </c>
      <c r="X133" s="36">
        <f t="shared" ref="X133:X164" si="80">IFERROR(
   IF(Q133 - AG133 &gt; 0,
      Q133 - AG133,
      0
   ),
   0
)</f>
        <v>40</v>
      </c>
      <c r="Y133" s="40">
        <f>IF(B133="Public", 'synthèse v2'!$F$62/1000, IF(B133="Privé non lucratif",'synthèse v2'!$F$61/1000, IF(B133="Privé", 'synthèse v2'!$F$60/1000, "")))</f>
        <v>43.762959354365371</v>
      </c>
      <c r="Z133" s="40">
        <f t="shared" si="76"/>
        <v>21.881479677182686</v>
      </c>
      <c r="AA133" s="40">
        <f t="shared" ref="AA133:AA164" si="81">IFERROR(
  IF(
    (((W133*365*$AA$2) - (W133*365*R133)) / 365) &gt; 0,
    ((W133*365*$AA$2) - (W133*365*R133)) / 365,
    0
  ),
  0
)</f>
        <v>1.5890410958904109</v>
      </c>
      <c r="AB133" s="40">
        <f t="shared" ref="AB133:AB164" si="82">IFERROR(
  IF(
    (((X133*365*$AB$2) - (X133*365*S133)) / 365) &gt; 0,
    ((X133*365*$AB$2) - (X133*365*S133)) / 365,
    0
  ),
  0
)</f>
        <v>1.4328767123287671</v>
      </c>
      <c r="AC133" s="34">
        <f t="shared" ref="AC133:AC164" si="83">AA133*Y133</f>
        <v>69.541140891868253</v>
      </c>
      <c r="AD133" s="34">
        <f t="shared" ref="AD133:AD164" si="84">AB133*Z133</f>
        <v>31.353462660730258</v>
      </c>
      <c r="AE133" s="34">
        <f t="shared" ref="AE133:AE164" si="85">AC133+AD133</f>
        <v>100.89460355259851</v>
      </c>
      <c r="AF133" s="36">
        <v>0</v>
      </c>
      <c r="AG133" s="36">
        <v>0</v>
      </c>
      <c r="AH133" s="39">
        <v>0</v>
      </c>
      <c r="AI133" s="39">
        <v>0</v>
      </c>
      <c r="AJ133" s="36">
        <f t="shared" ref="AJ133:AJ164" si="86">IF((((AF133*365*$AJ$2) - (AF133*365*AH133)) / 365) &gt; 0,
    ((AF133*365*$AJ$2) - (AF133*365*AH133)) / 365,
    0)</f>
        <v>0</v>
      </c>
      <c r="AK133" s="36">
        <f t="shared" ref="AK133:AK164" si="87">IF(
  (((AG133*365*$AK$2) - (AG133*365*AI133)) / 365) &gt; 0,
  ((AG133*365*$AK$2) - (AG133*365*AI133)) / 365,
  0
)</f>
        <v>0</v>
      </c>
      <c r="AL133" s="40"/>
      <c r="AM133" s="40"/>
      <c r="AN133" s="34">
        <f t="shared" ref="AN133:AN164" si="88">AJ133*AL133</f>
        <v>0</v>
      </c>
      <c r="AO133" s="34">
        <f t="shared" ref="AO133:AO164" si="89">AK133*AM133</f>
        <v>0</v>
      </c>
      <c r="AP133" s="34">
        <f t="shared" ref="AP133:AP164" si="90">AN133 + AO133</f>
        <v>0</v>
      </c>
      <c r="AR133" s="34">
        <f t="shared" ref="AR133:AR164" si="91">AP133+AE133</f>
        <v>100.89460355259851</v>
      </c>
      <c r="AS133" s="34"/>
      <c r="AT133" s="29">
        <f>+VLOOKUP(C133,dotpop24!$A$10:$K$178,11,0)</f>
        <v>8566520.4299999997</v>
      </c>
      <c r="AU133" s="29">
        <f t="shared" ref="AU133:AU164" si="92">+AT133/(P133+Q133*0.5)</f>
        <v>54913.592499999999</v>
      </c>
      <c r="AV133" s="29">
        <f t="shared" si="57"/>
        <v>27456.796249999999</v>
      </c>
      <c r="AW133" s="29">
        <f t="shared" ref="AW133:AW164" si="93">+(AA133*AU133)+(AB133*AV133)</f>
        <v>126602.15914726027</v>
      </c>
    </row>
    <row r="134" spans="1:49">
      <c r="A134" s="1" t="s">
        <v>22</v>
      </c>
      <c r="B134" s="1" t="s">
        <v>23</v>
      </c>
      <c r="C134" s="97">
        <v>650780174</v>
      </c>
      <c r="D134" s="1" t="s">
        <v>166</v>
      </c>
      <c r="E134" s="1" t="s">
        <v>25</v>
      </c>
      <c r="F134" s="44">
        <v>7077</v>
      </c>
      <c r="G134" s="44">
        <v>7077</v>
      </c>
      <c r="H134" s="44">
        <v>0</v>
      </c>
      <c r="I134" s="45">
        <v>0.38100000000000001</v>
      </c>
      <c r="J134" s="45">
        <v>84.32</v>
      </c>
      <c r="K134" s="45">
        <v>11.19</v>
      </c>
      <c r="L134" s="45">
        <v>3.82</v>
      </c>
      <c r="M134" s="45">
        <v>0.55000000000000004</v>
      </c>
      <c r="N134" s="35">
        <v>65</v>
      </c>
      <c r="O134" s="35" t="s">
        <v>26</v>
      </c>
      <c r="P134" s="35">
        <v>20</v>
      </c>
      <c r="Q134" s="35">
        <v>0</v>
      </c>
      <c r="R134" s="225">
        <f t="shared" ref="R134:R172" si="94">+G134/(P134*365)</f>
        <v>0.96945205479452057</v>
      </c>
      <c r="S134" s="225"/>
      <c r="T134" s="225"/>
      <c r="U134" s="78">
        <f t="shared" si="77"/>
        <v>0</v>
      </c>
      <c r="V134" s="78">
        <f t="shared" si="78"/>
        <v>0</v>
      </c>
      <c r="W134" s="36">
        <f t="shared" si="79"/>
        <v>20</v>
      </c>
      <c r="X134" s="36">
        <f t="shared" si="80"/>
        <v>0</v>
      </c>
      <c r="Y134" s="40">
        <f>IF(B134="Public", 'synthèse v2'!$F$62/1000, IF(B134="Privé non lucratif",'synthèse v2'!$F$61/1000, IF(B134="Privé", 'synthèse v2'!$F$60/1000, "")))</f>
        <v>43.762959354365371</v>
      </c>
      <c r="Z134" s="40">
        <f t="shared" si="76"/>
        <v>21.881479677182686</v>
      </c>
      <c r="AA134" s="40">
        <f t="shared" si="81"/>
        <v>0</v>
      </c>
      <c r="AB134" s="40">
        <f t="shared" si="82"/>
        <v>0</v>
      </c>
      <c r="AC134" s="34">
        <f t="shared" si="83"/>
        <v>0</v>
      </c>
      <c r="AD134" s="34">
        <f t="shared" si="84"/>
        <v>0</v>
      </c>
      <c r="AE134" s="34">
        <f t="shared" si="85"/>
        <v>0</v>
      </c>
      <c r="AF134" s="36">
        <v>0</v>
      </c>
      <c r="AG134" s="36">
        <v>0</v>
      </c>
      <c r="AH134" s="39">
        <v>0</v>
      </c>
      <c r="AI134" s="39">
        <v>0</v>
      </c>
      <c r="AJ134" s="36">
        <f t="shared" si="86"/>
        <v>0</v>
      </c>
      <c r="AK134" s="36">
        <f t="shared" si="87"/>
        <v>0</v>
      </c>
      <c r="AL134" s="40"/>
      <c r="AM134" s="40"/>
      <c r="AN134" s="34">
        <f t="shared" si="88"/>
        <v>0</v>
      </c>
      <c r="AO134" s="34">
        <f t="shared" si="89"/>
        <v>0</v>
      </c>
      <c r="AP134" s="34">
        <f t="shared" si="90"/>
        <v>0</v>
      </c>
      <c r="AR134" s="34">
        <f t="shared" si="91"/>
        <v>0</v>
      </c>
      <c r="AS134" s="34"/>
      <c r="AT134" s="29">
        <f>+VLOOKUP(C134,dotpop24!$A$10:$K$178,11,0)</f>
        <v>874047.55</v>
      </c>
      <c r="AU134" s="29">
        <f t="shared" si="92"/>
        <v>43702.377500000002</v>
      </c>
      <c r="AV134" s="29">
        <f t="shared" ref="AV134:AV173" si="95">AU134/2</f>
        <v>21851.188750000001</v>
      </c>
      <c r="AW134" s="29">
        <f t="shared" si="93"/>
        <v>0</v>
      </c>
    </row>
    <row r="135" spans="1:49">
      <c r="A135" s="1" t="s">
        <v>22</v>
      </c>
      <c r="B135" s="1" t="s">
        <v>23</v>
      </c>
      <c r="C135" s="97">
        <v>650780190</v>
      </c>
      <c r="D135" s="1" t="s">
        <v>167</v>
      </c>
      <c r="E135" s="1" t="s">
        <v>25</v>
      </c>
      <c r="F135" s="44">
        <v>28013</v>
      </c>
      <c r="G135" s="44">
        <v>28013</v>
      </c>
      <c r="H135" s="44">
        <v>0</v>
      </c>
      <c r="I135" s="45">
        <v>0.46600000000000003</v>
      </c>
      <c r="J135" s="45">
        <v>72.239999999999995</v>
      </c>
      <c r="K135" s="45">
        <v>8.19</v>
      </c>
      <c r="L135" s="45">
        <v>3.15</v>
      </c>
      <c r="M135" s="45">
        <v>1.22</v>
      </c>
      <c r="N135" s="35">
        <v>65</v>
      </c>
      <c r="O135" s="35" t="s">
        <v>26</v>
      </c>
      <c r="P135" s="35">
        <v>88</v>
      </c>
      <c r="Q135" s="35">
        <v>0</v>
      </c>
      <c r="R135" s="225">
        <f t="shared" si="94"/>
        <v>0.87213574097135738</v>
      </c>
      <c r="S135" s="225"/>
      <c r="T135" s="225"/>
      <c r="U135" s="78">
        <f t="shared" si="77"/>
        <v>2.452054794520548</v>
      </c>
      <c r="V135" s="78">
        <f t="shared" si="78"/>
        <v>0</v>
      </c>
      <c r="W135" s="36">
        <f t="shared" si="79"/>
        <v>88</v>
      </c>
      <c r="X135" s="36">
        <f t="shared" si="80"/>
        <v>0</v>
      </c>
      <c r="Y135" s="40">
        <f>IF(B135="Public", 'synthèse v2'!$F$62/1000, IF(B135="Privé non lucratif",'synthèse v2'!$F$61/1000, IF(B135="Privé", 'synthèse v2'!$F$60/1000, "")))</f>
        <v>43.762959354365371</v>
      </c>
      <c r="Z135" s="40">
        <f t="shared" si="76"/>
        <v>21.881479677182686</v>
      </c>
      <c r="AA135" s="40">
        <f t="shared" si="81"/>
        <v>2.452054794520548</v>
      </c>
      <c r="AB135" s="40">
        <f t="shared" si="82"/>
        <v>0</v>
      </c>
      <c r="AC135" s="34">
        <f t="shared" si="83"/>
        <v>107.30917430727948</v>
      </c>
      <c r="AD135" s="34">
        <f t="shared" si="84"/>
        <v>0</v>
      </c>
      <c r="AE135" s="34">
        <f t="shared" si="85"/>
        <v>107.30917430727948</v>
      </c>
      <c r="AF135" s="36">
        <v>0</v>
      </c>
      <c r="AG135" s="36">
        <v>0</v>
      </c>
      <c r="AH135" s="39">
        <v>0</v>
      </c>
      <c r="AI135" s="39">
        <v>0</v>
      </c>
      <c r="AJ135" s="36">
        <f t="shared" si="86"/>
        <v>0</v>
      </c>
      <c r="AK135" s="36">
        <f t="shared" si="87"/>
        <v>0</v>
      </c>
      <c r="AL135" s="40"/>
      <c r="AM135" s="40"/>
      <c r="AN135" s="34">
        <f t="shared" si="88"/>
        <v>0</v>
      </c>
      <c r="AO135" s="34">
        <f t="shared" si="89"/>
        <v>0</v>
      </c>
      <c r="AP135" s="34">
        <f t="shared" si="90"/>
        <v>0</v>
      </c>
      <c r="AR135" s="34">
        <f t="shared" si="91"/>
        <v>107.30917430727948</v>
      </c>
      <c r="AS135" s="34"/>
      <c r="AT135" s="29">
        <f>+VLOOKUP(C135,dotpop24!$A$10:$K$178,11,0)</f>
        <v>3136051.91</v>
      </c>
      <c r="AU135" s="29">
        <f t="shared" si="92"/>
        <v>35636.953522727272</v>
      </c>
      <c r="AV135" s="29">
        <f t="shared" si="95"/>
        <v>17818.476761363636</v>
      </c>
      <c r="AW135" s="29">
        <f t="shared" si="93"/>
        <v>87383.762747509332</v>
      </c>
    </row>
    <row r="136" spans="1:49">
      <c r="A136" s="1" t="s">
        <v>33</v>
      </c>
      <c r="B136" s="1" t="s">
        <v>34</v>
      </c>
      <c r="C136" s="97">
        <v>650780398</v>
      </c>
      <c r="D136" s="1" t="s">
        <v>168</v>
      </c>
      <c r="E136" s="1" t="s">
        <v>25</v>
      </c>
      <c r="F136" s="44">
        <v>28442</v>
      </c>
      <c r="G136" s="44">
        <v>26105</v>
      </c>
      <c r="H136" s="44">
        <v>2337</v>
      </c>
      <c r="I136" s="45">
        <v>0.4</v>
      </c>
      <c r="J136" s="45">
        <v>73.92</v>
      </c>
      <c r="K136" s="45">
        <v>8.6300000000000008</v>
      </c>
      <c r="L136" s="45">
        <v>3.05</v>
      </c>
      <c r="M136" s="45">
        <v>2.15</v>
      </c>
      <c r="N136" s="35">
        <v>65</v>
      </c>
      <c r="O136" s="35" t="s">
        <v>26</v>
      </c>
      <c r="P136" s="35">
        <v>96</v>
      </c>
      <c r="Q136" s="35">
        <v>6</v>
      </c>
      <c r="R136" s="225">
        <f t="shared" si="94"/>
        <v>0.74500570776255703</v>
      </c>
      <c r="S136" s="225">
        <f>+H136/(Q136*365)</f>
        <v>1.0671232876712329</v>
      </c>
      <c r="T136" s="225"/>
      <c r="U136" s="78">
        <f t="shared" si="77"/>
        <v>14.87945205479452</v>
      </c>
      <c r="V136" s="78">
        <f t="shared" si="78"/>
        <v>0</v>
      </c>
      <c r="W136" s="36">
        <f t="shared" si="79"/>
        <v>96</v>
      </c>
      <c r="X136" s="36">
        <f t="shared" si="80"/>
        <v>6</v>
      </c>
      <c r="Y136" s="40">
        <f>IF(B136="Public", 'synthèse v2'!$F$62/1000, IF(B136="Privé non lucratif",'synthèse v2'!$F$61/1000, IF(B136="Privé", 'synthèse v2'!$F$60/1000, "")))</f>
        <v>36.984345997610518</v>
      </c>
      <c r="Z136" s="40">
        <f t="shared" si="76"/>
        <v>18.492172998805259</v>
      </c>
      <c r="AA136" s="40">
        <f t="shared" si="81"/>
        <v>14.87945205479452</v>
      </c>
      <c r="AB136" s="40">
        <f t="shared" si="82"/>
        <v>0</v>
      </c>
      <c r="AC136" s="34">
        <f t="shared" si="83"/>
        <v>550.30680304937732</v>
      </c>
      <c r="AD136" s="34">
        <f t="shared" si="84"/>
        <v>0</v>
      </c>
      <c r="AE136" s="34">
        <f t="shared" si="85"/>
        <v>550.30680304937732</v>
      </c>
      <c r="AF136" s="36">
        <v>0</v>
      </c>
      <c r="AG136" s="36">
        <v>0</v>
      </c>
      <c r="AH136" s="39">
        <v>0</v>
      </c>
      <c r="AI136" s="39">
        <v>0</v>
      </c>
      <c r="AJ136" s="36">
        <f t="shared" si="86"/>
        <v>0</v>
      </c>
      <c r="AK136" s="36">
        <f t="shared" si="87"/>
        <v>0</v>
      </c>
      <c r="AL136" s="40"/>
      <c r="AM136" s="40"/>
      <c r="AN136" s="34">
        <f t="shared" si="88"/>
        <v>0</v>
      </c>
      <c r="AO136" s="34">
        <f t="shared" si="89"/>
        <v>0</v>
      </c>
      <c r="AP136" s="34">
        <f t="shared" si="90"/>
        <v>0</v>
      </c>
      <c r="AR136" s="34">
        <f t="shared" si="91"/>
        <v>550.30680304937732</v>
      </c>
      <c r="AS136" s="34"/>
      <c r="AT136" s="29">
        <f>+VLOOKUP(C136,dotpop24!$A$10:$K$178,11,0)</f>
        <v>3878352.3</v>
      </c>
      <c r="AU136" s="29">
        <f t="shared" si="92"/>
        <v>39175.275757575757</v>
      </c>
      <c r="AV136" s="29">
        <f t="shared" si="95"/>
        <v>19587.637878787878</v>
      </c>
      <c r="AW136" s="29">
        <f t="shared" si="93"/>
        <v>582906.63736820256</v>
      </c>
    </row>
    <row r="137" spans="1:49">
      <c r="A137" s="1" t="s">
        <v>30</v>
      </c>
      <c r="B137" s="1" t="s">
        <v>30</v>
      </c>
      <c r="C137" s="97">
        <v>650780679</v>
      </c>
      <c r="D137" s="1" t="s">
        <v>169</v>
      </c>
      <c r="E137" s="1" t="s">
        <v>25</v>
      </c>
      <c r="F137" s="44">
        <v>5645</v>
      </c>
      <c r="G137" s="44">
        <v>0</v>
      </c>
      <c r="H137" s="44">
        <v>5645</v>
      </c>
      <c r="I137" s="45">
        <v>0.59699999999999998</v>
      </c>
      <c r="J137" s="45">
        <v>65.23</v>
      </c>
      <c r="K137" s="45">
        <v>4.01</v>
      </c>
      <c r="L137" s="45">
        <v>2.0099999999999998</v>
      </c>
      <c r="M137" s="45">
        <v>2.63</v>
      </c>
      <c r="N137" s="35">
        <v>65</v>
      </c>
      <c r="O137" s="35" t="s">
        <v>26</v>
      </c>
      <c r="P137" s="35">
        <v>0</v>
      </c>
      <c r="Q137" s="35">
        <v>30</v>
      </c>
      <c r="R137" s="225"/>
      <c r="S137" s="225">
        <f>+H137/(Q137*365)</f>
        <v>0.51552511415525115</v>
      </c>
      <c r="T137" s="225"/>
      <c r="U137" s="78">
        <f t="shared" si="77"/>
        <v>0</v>
      </c>
      <c r="V137" s="78">
        <f t="shared" si="78"/>
        <v>13.034246575342467</v>
      </c>
      <c r="W137" s="36">
        <f t="shared" si="79"/>
        <v>0</v>
      </c>
      <c r="X137" s="36">
        <f t="shared" si="80"/>
        <v>30</v>
      </c>
      <c r="Y137" s="40">
        <f>IF(B137="Public", 'synthèse v2'!$F$62/1000, IF(B137="Privé non lucratif",'synthèse v2'!$F$61/1000, IF(B137="Privé", 'synthèse v2'!$F$60/1000, "")))</f>
        <v>26.522545062955601</v>
      </c>
      <c r="Z137" s="40">
        <f t="shared" si="76"/>
        <v>13.2612725314778</v>
      </c>
      <c r="AA137" s="40">
        <f t="shared" si="81"/>
        <v>0</v>
      </c>
      <c r="AB137" s="40">
        <f t="shared" si="82"/>
        <v>13.034246575342467</v>
      </c>
      <c r="AC137" s="34">
        <f t="shared" si="83"/>
        <v>0</v>
      </c>
      <c r="AD137" s="34">
        <f t="shared" si="84"/>
        <v>172.85069607809766</v>
      </c>
      <c r="AE137" s="34">
        <f t="shared" si="85"/>
        <v>172.85069607809766</v>
      </c>
      <c r="AF137" s="36">
        <v>0</v>
      </c>
      <c r="AG137" s="36">
        <v>0</v>
      </c>
      <c r="AH137" s="39">
        <v>0</v>
      </c>
      <c r="AI137" s="39">
        <v>0</v>
      </c>
      <c r="AJ137" s="36">
        <f t="shared" si="86"/>
        <v>0</v>
      </c>
      <c r="AK137" s="36">
        <f t="shared" si="87"/>
        <v>0</v>
      </c>
      <c r="AL137" s="40"/>
      <c r="AM137" s="40"/>
      <c r="AN137" s="34">
        <f t="shared" si="88"/>
        <v>0</v>
      </c>
      <c r="AO137" s="34">
        <f t="shared" si="89"/>
        <v>0</v>
      </c>
      <c r="AP137" s="34">
        <f t="shared" si="90"/>
        <v>0</v>
      </c>
      <c r="AR137" s="34">
        <f t="shared" si="91"/>
        <v>172.85069607809766</v>
      </c>
      <c r="AS137" s="34"/>
      <c r="AT137" s="29">
        <f>+VLOOKUP(C137,dotpop24!$A$10:$K$178,11,0)</f>
        <v>238524</v>
      </c>
      <c r="AU137" s="29">
        <f t="shared" si="92"/>
        <v>15901.6</v>
      </c>
      <c r="AV137" s="29">
        <f t="shared" si="95"/>
        <v>7950.8</v>
      </c>
      <c r="AW137" s="29">
        <f t="shared" si="93"/>
        <v>103632.68767123288</v>
      </c>
    </row>
    <row r="138" spans="1:49">
      <c r="A138" s="1" t="s">
        <v>22</v>
      </c>
      <c r="B138" s="1" t="s">
        <v>23</v>
      </c>
      <c r="C138" s="97">
        <v>650783160</v>
      </c>
      <c r="D138" s="1" t="s">
        <v>170</v>
      </c>
      <c r="E138" s="1" t="s">
        <v>25</v>
      </c>
      <c r="F138" s="44">
        <v>43546</v>
      </c>
      <c r="G138" s="44">
        <v>43546</v>
      </c>
      <c r="H138" s="44">
        <v>0</v>
      </c>
      <c r="I138" s="45">
        <v>0.39200000000000002</v>
      </c>
      <c r="J138" s="45">
        <v>82.31</v>
      </c>
      <c r="K138" s="45">
        <v>11.75</v>
      </c>
      <c r="L138" s="45">
        <v>4.7300000000000004</v>
      </c>
      <c r="M138" s="45">
        <v>0.54</v>
      </c>
      <c r="N138" s="35">
        <v>65</v>
      </c>
      <c r="O138" s="35" t="s">
        <v>26</v>
      </c>
      <c r="P138" s="35">
        <v>133</v>
      </c>
      <c r="Q138" s="35">
        <v>0</v>
      </c>
      <c r="R138" s="225">
        <f t="shared" si="94"/>
        <v>0.89702338036873008</v>
      </c>
      <c r="S138" s="225"/>
      <c r="T138" s="225"/>
      <c r="U138" s="78">
        <f t="shared" si="77"/>
        <v>0.39589041095890409</v>
      </c>
      <c r="V138" s="78">
        <f t="shared" si="78"/>
        <v>0</v>
      </c>
      <c r="W138" s="36">
        <f t="shared" si="79"/>
        <v>133</v>
      </c>
      <c r="X138" s="36">
        <f t="shared" si="80"/>
        <v>0</v>
      </c>
      <c r="Y138" s="40">
        <f>IF(B138="Public", 'synthèse v2'!$F$62/1000, IF(B138="Privé non lucratif",'synthèse v2'!$F$61/1000, IF(B138="Privé", 'synthèse v2'!$F$60/1000, "")))</f>
        <v>43.762959354365371</v>
      </c>
      <c r="Z138" s="40">
        <f t="shared" si="76"/>
        <v>21.881479677182686</v>
      </c>
      <c r="AA138" s="40">
        <f t="shared" si="81"/>
        <v>0.39589041095890409</v>
      </c>
      <c r="AB138" s="40">
        <f t="shared" si="82"/>
        <v>0</v>
      </c>
      <c r="AC138" s="34">
        <f t="shared" si="83"/>
        <v>17.325335963577523</v>
      </c>
      <c r="AD138" s="34">
        <f t="shared" si="84"/>
        <v>0</v>
      </c>
      <c r="AE138" s="34">
        <f t="shared" si="85"/>
        <v>17.325335963577523</v>
      </c>
      <c r="AF138" s="36">
        <v>0</v>
      </c>
      <c r="AG138" s="36">
        <v>0</v>
      </c>
      <c r="AH138" s="39">
        <v>0</v>
      </c>
      <c r="AI138" s="39">
        <v>0</v>
      </c>
      <c r="AJ138" s="36">
        <f t="shared" si="86"/>
        <v>0</v>
      </c>
      <c r="AK138" s="36">
        <f t="shared" si="87"/>
        <v>0</v>
      </c>
      <c r="AL138" s="40"/>
      <c r="AM138" s="40"/>
      <c r="AN138" s="34">
        <f t="shared" si="88"/>
        <v>0</v>
      </c>
      <c r="AO138" s="34">
        <f t="shared" si="89"/>
        <v>0</v>
      </c>
      <c r="AP138" s="34">
        <f t="shared" si="90"/>
        <v>0</v>
      </c>
      <c r="AR138" s="34">
        <f t="shared" si="91"/>
        <v>17.325335963577523</v>
      </c>
      <c r="AS138" s="34"/>
      <c r="AT138" s="29">
        <f>+VLOOKUP(C138,dotpop24!$A$10:$K$178,11,0)</f>
        <v>5043749.0599999996</v>
      </c>
      <c r="AU138" s="29">
        <f t="shared" si="92"/>
        <v>37922.925263157893</v>
      </c>
      <c r="AV138" s="29">
        <f t="shared" si="95"/>
        <v>18961.462631578946</v>
      </c>
      <c r="AW138" s="29">
        <f t="shared" si="93"/>
        <v>15013.322467195385</v>
      </c>
    </row>
    <row r="139" spans="1:49">
      <c r="A139" s="1" t="s">
        <v>30</v>
      </c>
      <c r="B139" s="1" t="s">
        <v>34</v>
      </c>
      <c r="C139" s="97">
        <v>660005166</v>
      </c>
      <c r="D139" s="1" t="s">
        <v>171</v>
      </c>
      <c r="E139" s="1" t="s">
        <v>25</v>
      </c>
      <c r="F139" s="44">
        <v>20557</v>
      </c>
      <c r="G139" s="44">
        <v>19938</v>
      </c>
      <c r="H139" s="44">
        <v>619</v>
      </c>
      <c r="I139" s="45">
        <v>0.33200000000000002</v>
      </c>
      <c r="J139" s="45">
        <v>82.7</v>
      </c>
      <c r="K139" s="45">
        <v>10.4</v>
      </c>
      <c r="L139" s="45">
        <v>3.95</v>
      </c>
      <c r="M139" s="45">
        <v>0.99</v>
      </c>
      <c r="N139" s="35">
        <v>66</v>
      </c>
      <c r="O139" s="35" t="s">
        <v>26</v>
      </c>
      <c r="P139" s="35">
        <v>60</v>
      </c>
      <c r="Q139" s="35">
        <v>20</v>
      </c>
      <c r="R139" s="225">
        <f t="shared" si="94"/>
        <v>0.91041095890410961</v>
      </c>
      <c r="S139" s="225">
        <f>+H139/(Q139*365)</f>
        <v>8.4794520547945201E-2</v>
      </c>
      <c r="T139" s="225"/>
      <c r="U139" s="78">
        <f t="shared" si="77"/>
        <v>0</v>
      </c>
      <c r="V139" s="78">
        <f t="shared" si="78"/>
        <v>17.304109589041097</v>
      </c>
      <c r="W139" s="36">
        <f t="shared" si="79"/>
        <v>60</v>
      </c>
      <c r="X139" s="36">
        <f t="shared" si="80"/>
        <v>20</v>
      </c>
      <c r="Y139" s="40">
        <f>IF(B139="Public", 'synthèse v2'!$F$62/1000, IF(B139="Privé non lucratif",'synthèse v2'!$F$61/1000, IF(B139="Privé", 'synthèse v2'!$F$60/1000, "")))</f>
        <v>36.984345997610518</v>
      </c>
      <c r="Z139" s="40">
        <f t="shared" si="76"/>
        <v>18.492172998805259</v>
      </c>
      <c r="AA139" s="40">
        <f t="shared" si="81"/>
        <v>0</v>
      </c>
      <c r="AB139" s="40">
        <f t="shared" si="82"/>
        <v>17.304109589041097</v>
      </c>
      <c r="AC139" s="34">
        <f t="shared" si="83"/>
        <v>0</v>
      </c>
      <c r="AD139" s="34">
        <f t="shared" si="84"/>
        <v>319.99058811083296</v>
      </c>
      <c r="AE139" s="34">
        <f t="shared" si="85"/>
        <v>319.99058811083296</v>
      </c>
      <c r="AF139" s="36">
        <v>0</v>
      </c>
      <c r="AG139" s="36">
        <v>0</v>
      </c>
      <c r="AH139" s="39">
        <v>0</v>
      </c>
      <c r="AI139" s="39">
        <v>0</v>
      </c>
      <c r="AJ139" s="36">
        <f t="shared" si="86"/>
        <v>0</v>
      </c>
      <c r="AK139" s="36">
        <f t="shared" si="87"/>
        <v>0</v>
      </c>
      <c r="AL139" s="40"/>
      <c r="AM139" s="40"/>
      <c r="AN139" s="34">
        <f t="shared" si="88"/>
        <v>0</v>
      </c>
      <c r="AO139" s="34">
        <f t="shared" si="89"/>
        <v>0</v>
      </c>
      <c r="AP139" s="34">
        <f t="shared" si="90"/>
        <v>0</v>
      </c>
      <c r="AR139" s="34">
        <f t="shared" si="91"/>
        <v>319.99058811083296</v>
      </c>
      <c r="AS139" s="34"/>
      <c r="AT139" s="29">
        <f>+VLOOKUP(C139,dotpop24!$A$10:$K$178,11,0)</f>
        <v>2098884.4900000002</v>
      </c>
      <c r="AU139" s="29">
        <f t="shared" si="92"/>
        <v>29984.064142857147</v>
      </c>
      <c r="AV139" s="29">
        <f t="shared" si="95"/>
        <v>14992.032071428574</v>
      </c>
      <c r="AW139" s="29">
        <f t="shared" si="93"/>
        <v>259423.76592641886</v>
      </c>
    </row>
    <row r="140" spans="1:49">
      <c r="A140" s="1" t="s">
        <v>33</v>
      </c>
      <c r="B140" s="1" t="s">
        <v>34</v>
      </c>
      <c r="C140" s="97">
        <v>660009689</v>
      </c>
      <c r="D140" s="1" t="s">
        <v>172</v>
      </c>
      <c r="E140" s="1" t="s">
        <v>25</v>
      </c>
      <c r="F140" s="44">
        <v>13572</v>
      </c>
      <c r="G140" s="44">
        <v>12768</v>
      </c>
      <c r="H140" s="44">
        <v>804</v>
      </c>
      <c r="I140" s="45">
        <v>0.46899999999999997</v>
      </c>
      <c r="J140" s="45">
        <v>79.72</v>
      </c>
      <c r="K140" s="45">
        <v>11.64</v>
      </c>
      <c r="L140" s="45">
        <v>5.59</v>
      </c>
      <c r="M140" s="45">
        <v>2.2000000000000002</v>
      </c>
      <c r="N140" s="35">
        <v>66</v>
      </c>
      <c r="O140" s="35" t="s">
        <v>26</v>
      </c>
      <c r="P140" s="35">
        <v>57</v>
      </c>
      <c r="Q140" s="35">
        <v>10</v>
      </c>
      <c r="R140" s="225">
        <f t="shared" si="94"/>
        <v>0.61369863013698633</v>
      </c>
      <c r="S140" s="225">
        <f>+H140/(Q140*365)</f>
        <v>0.22027397260273973</v>
      </c>
      <c r="T140" s="225"/>
      <c r="U140" s="78">
        <f t="shared" si="77"/>
        <v>16.31917808219178</v>
      </c>
      <c r="V140" s="78">
        <f t="shared" si="78"/>
        <v>7.2972602739726025</v>
      </c>
      <c r="W140" s="36">
        <f t="shared" si="79"/>
        <v>57</v>
      </c>
      <c r="X140" s="36">
        <f t="shared" si="80"/>
        <v>10</v>
      </c>
      <c r="Y140" s="40">
        <f>IF(B140="Public", 'synthèse v2'!$F$62/1000, IF(B140="Privé non lucratif",'synthèse v2'!$F$61/1000, IF(B140="Privé", 'synthèse v2'!$F$60/1000, "")))</f>
        <v>36.984345997610518</v>
      </c>
      <c r="Z140" s="40">
        <f t="shared" si="76"/>
        <v>18.492172998805259</v>
      </c>
      <c r="AA140" s="40">
        <f t="shared" si="81"/>
        <v>16.31917808219178</v>
      </c>
      <c r="AB140" s="40">
        <f t="shared" si="82"/>
        <v>7.2972602739726025</v>
      </c>
      <c r="AC140" s="34">
        <f t="shared" si="83"/>
        <v>603.55412858840282</v>
      </c>
      <c r="AD140" s="34">
        <f t="shared" si="84"/>
        <v>134.94219940361043</v>
      </c>
      <c r="AE140" s="34">
        <f t="shared" si="85"/>
        <v>738.49632799201322</v>
      </c>
      <c r="AF140" s="36">
        <v>0</v>
      </c>
      <c r="AG140" s="36">
        <v>0</v>
      </c>
      <c r="AH140" s="39">
        <v>0</v>
      </c>
      <c r="AI140" s="39">
        <v>0</v>
      </c>
      <c r="AJ140" s="36">
        <f t="shared" si="86"/>
        <v>0</v>
      </c>
      <c r="AK140" s="36">
        <f t="shared" si="87"/>
        <v>0</v>
      </c>
      <c r="AL140" s="40"/>
      <c r="AM140" s="40"/>
      <c r="AN140" s="34">
        <f t="shared" si="88"/>
        <v>0</v>
      </c>
      <c r="AO140" s="34">
        <f t="shared" si="89"/>
        <v>0</v>
      </c>
      <c r="AP140" s="34">
        <f t="shared" si="90"/>
        <v>0</v>
      </c>
      <c r="AR140" s="34">
        <f t="shared" si="91"/>
        <v>738.49632799201322</v>
      </c>
      <c r="AS140" s="34"/>
      <c r="AT140" s="29">
        <f>+VLOOKUP(C140,dotpop24!$A$10:$K$178,11,0)</f>
        <v>3441770.93</v>
      </c>
      <c r="AU140" s="29">
        <f t="shared" si="92"/>
        <v>55512.434354838711</v>
      </c>
      <c r="AV140" s="29">
        <f t="shared" si="95"/>
        <v>27756.217177419356</v>
      </c>
      <c r="AW140" s="29">
        <f t="shared" si="93"/>
        <v>1108461.642977132</v>
      </c>
    </row>
    <row r="141" spans="1:49">
      <c r="A141" s="1" t="s">
        <v>33</v>
      </c>
      <c r="B141" s="1" t="s">
        <v>34</v>
      </c>
      <c r="C141" s="97">
        <v>660010174</v>
      </c>
      <c r="D141" s="1" t="s">
        <v>173</v>
      </c>
      <c r="E141" s="1" t="s">
        <v>25</v>
      </c>
      <c r="F141" s="44">
        <v>67159</v>
      </c>
      <c r="G141" s="44">
        <v>52887</v>
      </c>
      <c r="H141" s="44">
        <v>14272</v>
      </c>
      <c r="I141" s="45">
        <v>0.65800000000000003</v>
      </c>
      <c r="J141" s="45">
        <v>59.69</v>
      </c>
      <c r="K141" s="45">
        <v>9.08</v>
      </c>
      <c r="L141" s="45">
        <v>3.94</v>
      </c>
      <c r="M141" s="45">
        <v>2.0099999999999998</v>
      </c>
      <c r="N141" s="35">
        <v>66</v>
      </c>
      <c r="O141" s="35" t="s">
        <v>26</v>
      </c>
      <c r="P141" s="35">
        <v>170</v>
      </c>
      <c r="Q141" s="35">
        <v>45</v>
      </c>
      <c r="R141" s="225">
        <f t="shared" si="94"/>
        <v>0.85232876712328765</v>
      </c>
      <c r="S141" s="225">
        <f>+H141/(Q141*365)</f>
        <v>0.86891933028919333</v>
      </c>
      <c r="T141" s="225"/>
      <c r="U141" s="78">
        <f t="shared" si="77"/>
        <v>8.1041095890410961</v>
      </c>
      <c r="V141" s="78">
        <f t="shared" si="78"/>
        <v>3.6486301369863012</v>
      </c>
      <c r="W141" s="36">
        <f t="shared" si="79"/>
        <v>170</v>
      </c>
      <c r="X141" s="36">
        <f t="shared" si="80"/>
        <v>45</v>
      </c>
      <c r="Y141" s="40">
        <f>IF(B141="Public", 'synthèse v2'!$F$62/1000, IF(B141="Privé non lucratif",'synthèse v2'!$F$61/1000, IF(B141="Privé", 'synthèse v2'!$F$60/1000, "")))</f>
        <v>36.984345997610518</v>
      </c>
      <c r="Z141" s="40">
        <f t="shared" si="76"/>
        <v>18.492172998805259</v>
      </c>
      <c r="AA141" s="40">
        <f t="shared" si="81"/>
        <v>8.1041095890410961</v>
      </c>
      <c r="AB141" s="40">
        <f t="shared" si="82"/>
        <v>3.6486301369863012</v>
      </c>
      <c r="AC141" s="34">
        <f t="shared" si="83"/>
        <v>299.72519304364909</v>
      </c>
      <c r="AD141" s="34">
        <f t="shared" si="84"/>
        <v>67.471099701805215</v>
      </c>
      <c r="AE141" s="34">
        <f t="shared" si="85"/>
        <v>367.19629274545429</v>
      </c>
      <c r="AF141" s="36">
        <v>0</v>
      </c>
      <c r="AG141" s="36">
        <v>0</v>
      </c>
      <c r="AH141" s="39">
        <v>0</v>
      </c>
      <c r="AI141" s="39">
        <v>0</v>
      </c>
      <c r="AJ141" s="36">
        <f t="shared" si="86"/>
        <v>0</v>
      </c>
      <c r="AK141" s="36">
        <f t="shared" si="87"/>
        <v>0</v>
      </c>
      <c r="AL141" s="40"/>
      <c r="AM141" s="40"/>
      <c r="AN141" s="34">
        <f t="shared" si="88"/>
        <v>0</v>
      </c>
      <c r="AO141" s="34">
        <f t="shared" si="89"/>
        <v>0</v>
      </c>
      <c r="AP141" s="34">
        <f t="shared" si="90"/>
        <v>0</v>
      </c>
      <c r="AR141" s="34">
        <f t="shared" si="91"/>
        <v>367.19629274545429</v>
      </c>
      <c r="AS141" s="34"/>
      <c r="AT141" s="29">
        <f>+VLOOKUP(C141,dotpop24!$A$10:$K$178,11,0)</f>
        <v>6774027.3099999996</v>
      </c>
      <c r="AU141" s="29">
        <f t="shared" si="92"/>
        <v>35189.752259740257</v>
      </c>
      <c r="AV141" s="29">
        <f t="shared" si="95"/>
        <v>17594.876129870128</v>
      </c>
      <c r="AW141" s="29">
        <f t="shared" si="93"/>
        <v>349378.80402812664</v>
      </c>
    </row>
    <row r="142" spans="1:49">
      <c r="A142" s="1" t="s">
        <v>22</v>
      </c>
      <c r="B142" s="1" t="s">
        <v>23</v>
      </c>
      <c r="C142" s="97">
        <v>660013087</v>
      </c>
      <c r="D142" s="95" t="s">
        <v>175</v>
      </c>
      <c r="E142" s="1" t="s">
        <v>25</v>
      </c>
      <c r="F142" s="44">
        <v>7121</v>
      </c>
      <c r="G142" s="44">
        <v>7121</v>
      </c>
      <c r="H142" s="44">
        <v>0</v>
      </c>
      <c r="I142" s="45">
        <v>0.32600000000000001</v>
      </c>
      <c r="J142" s="45">
        <v>83.84</v>
      </c>
      <c r="K142" s="45">
        <v>10.24</v>
      </c>
      <c r="L142" s="45">
        <v>2.84</v>
      </c>
      <c r="M142" s="45">
        <v>1.02</v>
      </c>
      <c r="N142" s="35">
        <v>66</v>
      </c>
      <c r="O142" s="35" t="s">
        <v>26</v>
      </c>
      <c r="P142" s="35">
        <v>20</v>
      </c>
      <c r="Q142" s="35">
        <v>0</v>
      </c>
      <c r="R142" s="225">
        <f t="shared" si="94"/>
        <v>0.97547945205479447</v>
      </c>
      <c r="S142" s="225"/>
      <c r="T142" s="226" t="s">
        <v>661</v>
      </c>
      <c r="U142" s="78">
        <f t="shared" si="77"/>
        <v>0</v>
      </c>
      <c r="V142" s="78">
        <f t="shared" si="78"/>
        <v>0</v>
      </c>
      <c r="W142" s="36">
        <f t="shared" si="79"/>
        <v>20</v>
      </c>
      <c r="X142" s="36">
        <f t="shared" si="80"/>
        <v>0</v>
      </c>
      <c r="Y142" s="40">
        <f>IF(B142="Public", 'synthèse v2'!$F$62/1000, IF(B142="Privé non lucratif",'synthèse v2'!$F$61/1000, IF(B142="Privé", 'synthèse v2'!$F$60/1000, "")))</f>
        <v>43.762959354365371</v>
      </c>
      <c r="Z142" s="40">
        <f t="shared" ref="Z142" si="96">+Y142/2</f>
        <v>21.881479677182686</v>
      </c>
      <c r="AA142" s="40">
        <f t="shared" si="81"/>
        <v>0</v>
      </c>
      <c r="AB142" s="40">
        <f t="shared" si="82"/>
        <v>0</v>
      </c>
      <c r="AC142" s="34">
        <f t="shared" si="83"/>
        <v>0</v>
      </c>
      <c r="AD142" s="34">
        <f t="shared" si="84"/>
        <v>0</v>
      </c>
      <c r="AE142" s="34">
        <f t="shared" si="85"/>
        <v>0</v>
      </c>
      <c r="AF142" s="36">
        <v>0</v>
      </c>
      <c r="AG142" s="36">
        <v>0</v>
      </c>
      <c r="AH142" s="39">
        <v>0</v>
      </c>
      <c r="AI142" s="39">
        <v>0</v>
      </c>
      <c r="AJ142" s="36">
        <f t="shared" si="86"/>
        <v>0</v>
      </c>
      <c r="AK142" s="36">
        <f t="shared" si="87"/>
        <v>0</v>
      </c>
      <c r="AL142" s="40"/>
      <c r="AM142" s="40"/>
      <c r="AN142" s="34">
        <f t="shared" si="88"/>
        <v>0</v>
      </c>
      <c r="AO142" s="34">
        <f t="shared" si="89"/>
        <v>0</v>
      </c>
      <c r="AP142" s="34">
        <f t="shared" si="90"/>
        <v>0</v>
      </c>
      <c r="AR142" s="34">
        <f t="shared" si="91"/>
        <v>0</v>
      </c>
      <c r="AS142" s="34"/>
      <c r="AT142" s="29">
        <f>+VLOOKUP(C142,dotpop24!$A$10:$K$178,11,0)</f>
        <v>1042358.52</v>
      </c>
      <c r="AU142" s="29">
        <f t="shared" si="92"/>
        <v>52117.925999999999</v>
      </c>
      <c r="AV142" s="29">
        <f t="shared" si="95"/>
        <v>26058.963</v>
      </c>
      <c r="AW142" s="29">
        <f t="shared" si="93"/>
        <v>0</v>
      </c>
    </row>
    <row r="143" spans="1:49">
      <c r="A143" s="1" t="s">
        <v>30</v>
      </c>
      <c r="B143" s="1" t="s">
        <v>30</v>
      </c>
      <c r="C143" s="97">
        <v>660780099</v>
      </c>
      <c r="D143" s="1" t="s">
        <v>176</v>
      </c>
      <c r="E143" s="1" t="s">
        <v>25</v>
      </c>
      <c r="F143" s="44">
        <v>13679</v>
      </c>
      <c r="G143" s="44">
        <v>13679</v>
      </c>
      <c r="H143" s="44">
        <v>0</v>
      </c>
      <c r="I143" s="45">
        <v>0.499</v>
      </c>
      <c r="J143" s="45">
        <v>78.319999999999993</v>
      </c>
      <c r="K143" s="45">
        <v>11.8</v>
      </c>
      <c r="L143" s="45">
        <v>4.33</v>
      </c>
      <c r="M143" s="45">
        <v>1.31</v>
      </c>
      <c r="N143" s="35">
        <v>66</v>
      </c>
      <c r="O143" s="35" t="s">
        <v>26</v>
      </c>
      <c r="P143" s="35">
        <v>53</v>
      </c>
      <c r="Q143" s="35">
        <v>0</v>
      </c>
      <c r="R143" s="225">
        <f t="shared" si="94"/>
        <v>0.70710777978805894</v>
      </c>
      <c r="S143" s="225"/>
      <c r="T143" s="225"/>
      <c r="U143" s="78">
        <f t="shared" si="77"/>
        <v>10.223287671232876</v>
      </c>
      <c r="V143" s="78">
        <f t="shared" si="78"/>
        <v>0</v>
      </c>
      <c r="W143" s="36">
        <f t="shared" si="79"/>
        <v>53</v>
      </c>
      <c r="X143" s="36">
        <f t="shared" si="80"/>
        <v>0</v>
      </c>
      <c r="Y143" s="40">
        <f>IF(B143="Public", 'synthèse v2'!$F$62/1000, IF(B143="Privé non lucratif",'synthèse v2'!$F$61/1000, IF(B143="Privé", 'synthèse v2'!$F$60/1000, "")))</f>
        <v>26.522545062955601</v>
      </c>
      <c r="Z143" s="40">
        <f t="shared" si="76"/>
        <v>13.2612725314778</v>
      </c>
      <c r="AA143" s="40">
        <f t="shared" si="81"/>
        <v>10.223287671232876</v>
      </c>
      <c r="AB143" s="40">
        <f t="shared" si="82"/>
        <v>0</v>
      </c>
      <c r="AC143" s="34">
        <f t="shared" si="83"/>
        <v>271.14760795183241</v>
      </c>
      <c r="AD143" s="34">
        <f t="shared" si="84"/>
        <v>0</v>
      </c>
      <c r="AE143" s="34">
        <f t="shared" si="85"/>
        <v>271.14760795183241</v>
      </c>
      <c r="AF143" s="36">
        <v>0</v>
      </c>
      <c r="AG143" s="36">
        <v>0</v>
      </c>
      <c r="AH143" s="39">
        <v>0</v>
      </c>
      <c r="AI143" s="39">
        <v>0</v>
      </c>
      <c r="AJ143" s="36">
        <f t="shared" si="86"/>
        <v>0</v>
      </c>
      <c r="AK143" s="36">
        <f t="shared" si="87"/>
        <v>0</v>
      </c>
      <c r="AL143" s="40"/>
      <c r="AM143" s="40"/>
      <c r="AN143" s="34">
        <f t="shared" si="88"/>
        <v>0</v>
      </c>
      <c r="AO143" s="34">
        <f t="shared" si="89"/>
        <v>0</v>
      </c>
      <c r="AP143" s="34">
        <f t="shared" si="90"/>
        <v>0</v>
      </c>
      <c r="AR143" s="34">
        <f t="shared" si="91"/>
        <v>271.14760795183241</v>
      </c>
      <c r="AS143" s="34"/>
      <c r="AT143" s="29">
        <f>+VLOOKUP(C143,dotpop24!$A$10:$K$178,11,0)</f>
        <v>1253209.33</v>
      </c>
      <c r="AU143" s="29">
        <f t="shared" si="92"/>
        <v>23645.459056603773</v>
      </c>
      <c r="AV143" s="29">
        <f t="shared" si="95"/>
        <v>11822.729528301887</v>
      </c>
      <c r="AW143" s="29">
        <f t="shared" si="93"/>
        <v>241734.33005401911</v>
      </c>
    </row>
    <row r="144" spans="1:49">
      <c r="A144" s="1" t="s">
        <v>33</v>
      </c>
      <c r="B144" s="1" t="s">
        <v>34</v>
      </c>
      <c r="C144" s="97">
        <v>660780156</v>
      </c>
      <c r="D144" s="1" t="s">
        <v>177</v>
      </c>
      <c r="E144" s="1" t="s">
        <v>25</v>
      </c>
      <c r="F144" s="44">
        <v>30342</v>
      </c>
      <c r="G144" s="44">
        <v>30342</v>
      </c>
      <c r="H144" s="44">
        <v>0</v>
      </c>
      <c r="I144" s="45">
        <v>0.46500000000000002</v>
      </c>
      <c r="J144" s="45">
        <v>71.83</v>
      </c>
      <c r="K144" s="45">
        <v>9.08</v>
      </c>
      <c r="L144" s="45">
        <v>3.49</v>
      </c>
      <c r="M144" s="45">
        <v>1.53</v>
      </c>
      <c r="N144" s="35">
        <v>66</v>
      </c>
      <c r="O144" s="35" t="s">
        <v>26</v>
      </c>
      <c r="P144" s="35">
        <v>96</v>
      </c>
      <c r="Q144" s="35">
        <v>0</v>
      </c>
      <c r="R144" s="225">
        <f t="shared" si="94"/>
        <v>0.86592465753424652</v>
      </c>
      <c r="S144" s="225"/>
      <c r="T144" s="225"/>
      <c r="U144" s="78">
        <f t="shared" si="77"/>
        <v>3.2712328767123386</v>
      </c>
      <c r="V144" s="78">
        <f t="shared" si="78"/>
        <v>0</v>
      </c>
      <c r="W144" s="36">
        <f t="shared" si="79"/>
        <v>96</v>
      </c>
      <c r="X144" s="36">
        <f t="shared" si="80"/>
        <v>0</v>
      </c>
      <c r="Y144" s="40">
        <f>IF(B144="Public", 'synthèse v2'!$F$62/1000, IF(B144="Privé non lucratif",'synthèse v2'!$F$61/1000, IF(B144="Privé", 'synthèse v2'!$F$60/1000, "")))</f>
        <v>36.984345997610518</v>
      </c>
      <c r="Z144" s="40">
        <f t="shared" si="76"/>
        <v>18.492172998805259</v>
      </c>
      <c r="AA144" s="40">
        <f t="shared" si="81"/>
        <v>3.2712328767123386</v>
      </c>
      <c r="AB144" s="40">
        <f t="shared" si="82"/>
        <v>0</v>
      </c>
      <c r="AC144" s="34">
        <f t="shared" si="83"/>
        <v>120.98440855108792</v>
      </c>
      <c r="AD144" s="34">
        <f t="shared" si="84"/>
        <v>0</v>
      </c>
      <c r="AE144" s="34">
        <f t="shared" si="85"/>
        <v>120.98440855108792</v>
      </c>
      <c r="AF144" s="36">
        <v>0</v>
      </c>
      <c r="AG144" s="36">
        <v>0</v>
      </c>
      <c r="AH144" s="39">
        <v>0</v>
      </c>
      <c r="AI144" s="39">
        <v>0</v>
      </c>
      <c r="AJ144" s="36">
        <f t="shared" si="86"/>
        <v>0</v>
      </c>
      <c r="AK144" s="36">
        <f t="shared" si="87"/>
        <v>0</v>
      </c>
      <c r="AL144" s="40"/>
      <c r="AM144" s="40"/>
      <c r="AN144" s="34">
        <f t="shared" si="88"/>
        <v>0</v>
      </c>
      <c r="AO144" s="34">
        <f t="shared" si="89"/>
        <v>0</v>
      </c>
      <c r="AP144" s="34">
        <f t="shared" si="90"/>
        <v>0</v>
      </c>
      <c r="AR144" s="34">
        <f t="shared" si="91"/>
        <v>120.98440855108792</v>
      </c>
      <c r="AS144" s="34"/>
      <c r="AT144" s="29">
        <f>+VLOOKUP(C144,dotpop24!$A$10:$K$178,11,0)</f>
        <v>3119054.29</v>
      </c>
      <c r="AU144" s="29">
        <f t="shared" si="92"/>
        <v>32490.148854166666</v>
      </c>
      <c r="AV144" s="29">
        <f t="shared" si="95"/>
        <v>16245.074427083333</v>
      </c>
      <c r="AW144" s="29">
        <f t="shared" si="93"/>
        <v>106282.84310102771</v>
      </c>
    </row>
    <row r="145" spans="1:49">
      <c r="A145" s="1" t="s">
        <v>22</v>
      </c>
      <c r="B145" s="1" t="s">
        <v>23</v>
      </c>
      <c r="C145" s="97">
        <v>660780180</v>
      </c>
      <c r="D145" s="1" t="s">
        <v>178</v>
      </c>
      <c r="E145" s="1" t="s">
        <v>25</v>
      </c>
      <c r="F145" s="44">
        <v>18462</v>
      </c>
      <c r="G145" s="44">
        <v>18462</v>
      </c>
      <c r="H145" s="44">
        <v>0</v>
      </c>
      <c r="I145" s="45">
        <v>0.40699999999999997</v>
      </c>
      <c r="J145" s="45">
        <v>85.89</v>
      </c>
      <c r="K145" s="45">
        <v>12.05</v>
      </c>
      <c r="L145" s="45">
        <v>5.5</v>
      </c>
      <c r="M145" s="45">
        <v>0.53</v>
      </c>
      <c r="N145" s="35">
        <v>66</v>
      </c>
      <c r="O145" s="35" t="s">
        <v>26</v>
      </c>
      <c r="P145" s="35">
        <v>38</v>
      </c>
      <c r="Q145" s="35">
        <v>0</v>
      </c>
      <c r="R145" s="225">
        <f t="shared" si="94"/>
        <v>1.3310742609949531</v>
      </c>
      <c r="S145" s="225"/>
      <c r="T145" s="225"/>
      <c r="U145" s="78">
        <f t="shared" si="77"/>
        <v>0</v>
      </c>
      <c r="V145" s="78">
        <f t="shared" si="78"/>
        <v>0</v>
      </c>
      <c r="W145" s="36">
        <f t="shared" si="79"/>
        <v>38</v>
      </c>
      <c r="X145" s="36">
        <f t="shared" si="80"/>
        <v>0</v>
      </c>
      <c r="Y145" s="40">
        <f>IF(B145="Public", 'synthèse v2'!$F$62/1000, IF(B145="Privé non lucratif",'synthèse v2'!$F$61/1000, IF(B145="Privé", 'synthèse v2'!$F$60/1000, "")))</f>
        <v>43.762959354365371</v>
      </c>
      <c r="Z145" s="40">
        <f t="shared" si="76"/>
        <v>21.881479677182686</v>
      </c>
      <c r="AA145" s="40">
        <f t="shared" si="81"/>
        <v>0</v>
      </c>
      <c r="AB145" s="40">
        <f t="shared" si="82"/>
        <v>0</v>
      </c>
      <c r="AC145" s="34">
        <f t="shared" si="83"/>
        <v>0</v>
      </c>
      <c r="AD145" s="34">
        <f t="shared" si="84"/>
        <v>0</v>
      </c>
      <c r="AE145" s="34">
        <f t="shared" si="85"/>
        <v>0</v>
      </c>
      <c r="AF145" s="36">
        <v>0</v>
      </c>
      <c r="AG145" s="36">
        <v>0</v>
      </c>
      <c r="AH145" s="39">
        <v>0</v>
      </c>
      <c r="AI145" s="39">
        <v>0</v>
      </c>
      <c r="AJ145" s="36">
        <f t="shared" si="86"/>
        <v>0</v>
      </c>
      <c r="AK145" s="36">
        <f t="shared" si="87"/>
        <v>0</v>
      </c>
      <c r="AL145" s="40"/>
      <c r="AM145" s="40"/>
      <c r="AN145" s="34">
        <f t="shared" si="88"/>
        <v>0</v>
      </c>
      <c r="AO145" s="34">
        <f t="shared" si="89"/>
        <v>0</v>
      </c>
      <c r="AP145" s="34">
        <f t="shared" si="90"/>
        <v>0</v>
      </c>
      <c r="AR145" s="34">
        <f t="shared" si="91"/>
        <v>0</v>
      </c>
      <c r="AS145" s="34"/>
      <c r="AT145" s="29">
        <f>+VLOOKUP(C145,dotpop24!$A$10:$K$178,11,0)</f>
        <v>2382975.2400000002</v>
      </c>
      <c r="AU145" s="29">
        <f t="shared" si="92"/>
        <v>62709.87473684211</v>
      </c>
      <c r="AV145" s="29">
        <f t="shared" si="95"/>
        <v>31354.937368421055</v>
      </c>
      <c r="AW145" s="29">
        <f t="shared" si="93"/>
        <v>0</v>
      </c>
    </row>
    <row r="146" spans="1:49">
      <c r="A146" s="1" t="s">
        <v>30</v>
      </c>
      <c r="B146" s="1" t="s">
        <v>30</v>
      </c>
      <c r="C146" s="97">
        <v>660780347</v>
      </c>
      <c r="D146" s="1" t="s">
        <v>181</v>
      </c>
      <c r="E146" s="1" t="s">
        <v>25</v>
      </c>
      <c r="F146" s="44">
        <v>41172</v>
      </c>
      <c r="G146" s="44">
        <v>39949</v>
      </c>
      <c r="H146" s="44">
        <v>1223</v>
      </c>
      <c r="I146" s="45">
        <v>0.42899999999999999</v>
      </c>
      <c r="J146" s="45">
        <v>62.8</v>
      </c>
      <c r="K146" s="45">
        <v>4.29</v>
      </c>
      <c r="L146" s="45">
        <v>2.44</v>
      </c>
      <c r="M146" s="45">
        <v>2.95</v>
      </c>
      <c r="N146" s="35">
        <v>66</v>
      </c>
      <c r="O146" s="35" t="s">
        <v>26</v>
      </c>
      <c r="P146" s="35">
        <v>118</v>
      </c>
      <c r="Q146" s="35">
        <v>5</v>
      </c>
      <c r="R146" s="225">
        <f t="shared" si="94"/>
        <v>0.92753656837706056</v>
      </c>
      <c r="S146" s="225">
        <f>+H146/(Q146*365)</f>
        <v>0.67013698630136986</v>
      </c>
      <c r="T146" s="225"/>
      <c r="U146" s="78">
        <f t="shared" si="77"/>
        <v>0</v>
      </c>
      <c r="V146" s="78">
        <f t="shared" si="78"/>
        <v>1.3993150684931508</v>
      </c>
      <c r="W146" s="36">
        <f t="shared" si="79"/>
        <v>118</v>
      </c>
      <c r="X146" s="36">
        <f t="shared" si="80"/>
        <v>5</v>
      </c>
      <c r="Y146" s="40">
        <f>IF(B146="Public", 'synthèse v2'!$F$62/1000, IF(B146="Privé non lucratif",'synthèse v2'!$F$61/1000, IF(B146="Privé", 'synthèse v2'!$F$60/1000, "")))</f>
        <v>26.522545062955601</v>
      </c>
      <c r="Z146" s="40">
        <f t="shared" si="76"/>
        <v>13.2612725314778</v>
      </c>
      <c r="AA146" s="40">
        <f t="shared" si="81"/>
        <v>0</v>
      </c>
      <c r="AB146" s="40">
        <f t="shared" si="82"/>
        <v>1.3993150684931508</v>
      </c>
      <c r="AC146" s="34">
        <f t="shared" si="83"/>
        <v>0</v>
      </c>
      <c r="AD146" s="34">
        <f t="shared" si="84"/>
        <v>18.556698480691196</v>
      </c>
      <c r="AE146" s="34">
        <f t="shared" si="85"/>
        <v>18.556698480691196</v>
      </c>
      <c r="AF146" s="36">
        <v>0</v>
      </c>
      <c r="AG146" s="36">
        <v>0</v>
      </c>
      <c r="AH146" s="39">
        <v>0</v>
      </c>
      <c r="AI146" s="39">
        <v>0</v>
      </c>
      <c r="AJ146" s="36">
        <f t="shared" si="86"/>
        <v>0</v>
      </c>
      <c r="AK146" s="36">
        <f t="shared" si="87"/>
        <v>0</v>
      </c>
      <c r="AL146" s="40"/>
      <c r="AM146" s="40"/>
      <c r="AN146" s="34">
        <f t="shared" si="88"/>
        <v>0</v>
      </c>
      <c r="AO146" s="34">
        <f t="shared" si="89"/>
        <v>0</v>
      </c>
      <c r="AP146" s="34">
        <f t="shared" si="90"/>
        <v>0</v>
      </c>
      <c r="AR146" s="34">
        <f t="shared" si="91"/>
        <v>18.556698480691196</v>
      </c>
      <c r="AS146" s="34"/>
      <c r="AT146" s="29">
        <f>+VLOOKUP(C146,dotpop24!$A$10:$K$178,11,0)</f>
        <v>3221551.77</v>
      </c>
      <c r="AU146" s="29">
        <f t="shared" si="92"/>
        <v>26734.869460580914</v>
      </c>
      <c r="AV146" s="29">
        <f t="shared" si="95"/>
        <v>13367.434730290457</v>
      </c>
      <c r="AW146" s="29">
        <f t="shared" si="93"/>
        <v>18705.252845194114</v>
      </c>
    </row>
    <row r="147" spans="1:49">
      <c r="A147" s="1" t="s">
        <v>30</v>
      </c>
      <c r="B147" s="1" t="s">
        <v>30</v>
      </c>
      <c r="C147" s="97">
        <v>660780636</v>
      </c>
      <c r="D147" s="1" t="s">
        <v>182</v>
      </c>
      <c r="E147" s="1" t="s">
        <v>25</v>
      </c>
      <c r="F147" s="44">
        <v>45489</v>
      </c>
      <c r="G147" s="44">
        <v>45489</v>
      </c>
      <c r="H147" s="44">
        <v>0</v>
      </c>
      <c r="I147" s="45">
        <v>0.39100000000000001</v>
      </c>
      <c r="J147" s="45">
        <v>74.42</v>
      </c>
      <c r="K147" s="45">
        <v>9.8800000000000008</v>
      </c>
      <c r="L147" s="45">
        <v>3</v>
      </c>
      <c r="M147" s="45">
        <v>3.07</v>
      </c>
      <c r="N147" s="35">
        <v>66</v>
      </c>
      <c r="O147" s="35" t="s">
        <v>26</v>
      </c>
      <c r="P147" s="35">
        <v>152</v>
      </c>
      <c r="Q147" s="35">
        <v>0</v>
      </c>
      <c r="R147" s="225">
        <f t="shared" si="94"/>
        <v>0.81991708723864454</v>
      </c>
      <c r="S147" s="225"/>
      <c r="T147" s="225"/>
      <c r="U147" s="78">
        <f t="shared" si="77"/>
        <v>12.172602739726027</v>
      </c>
      <c r="V147" s="78">
        <f t="shared" si="78"/>
        <v>0</v>
      </c>
      <c r="W147" s="36">
        <f t="shared" si="79"/>
        <v>152</v>
      </c>
      <c r="X147" s="36">
        <f t="shared" si="80"/>
        <v>0</v>
      </c>
      <c r="Y147" s="40">
        <f>IF(B147="Public", 'synthèse v2'!$F$62/1000, IF(B147="Privé non lucratif",'synthèse v2'!$F$61/1000, IF(B147="Privé", 'synthèse v2'!$F$60/1000, "")))</f>
        <v>26.522545062955601</v>
      </c>
      <c r="Z147" s="40">
        <f t="shared" si="76"/>
        <v>13.2612725314778</v>
      </c>
      <c r="AA147" s="40">
        <f t="shared" si="81"/>
        <v>12.172602739726027</v>
      </c>
      <c r="AB147" s="40">
        <f t="shared" si="82"/>
        <v>0</v>
      </c>
      <c r="AC147" s="34">
        <f t="shared" si="83"/>
        <v>322.84840469784035</v>
      </c>
      <c r="AD147" s="34">
        <f t="shared" si="84"/>
        <v>0</v>
      </c>
      <c r="AE147" s="34">
        <f t="shared" si="85"/>
        <v>322.84840469784035</v>
      </c>
      <c r="AF147" s="36">
        <v>0</v>
      </c>
      <c r="AG147" s="36">
        <v>0</v>
      </c>
      <c r="AH147" s="39">
        <v>0</v>
      </c>
      <c r="AI147" s="39">
        <v>0</v>
      </c>
      <c r="AJ147" s="36">
        <f t="shared" si="86"/>
        <v>0</v>
      </c>
      <c r="AK147" s="36">
        <f t="shared" si="87"/>
        <v>0</v>
      </c>
      <c r="AL147" s="40"/>
      <c r="AM147" s="40"/>
      <c r="AN147" s="34">
        <f t="shared" si="88"/>
        <v>0</v>
      </c>
      <c r="AO147" s="34">
        <f t="shared" si="89"/>
        <v>0</v>
      </c>
      <c r="AP147" s="34">
        <f t="shared" si="90"/>
        <v>0</v>
      </c>
      <c r="AR147" s="34">
        <f t="shared" si="91"/>
        <v>322.84840469784035</v>
      </c>
      <c r="AS147" s="34"/>
      <c r="AT147" s="29">
        <f>+VLOOKUP(C147,dotpop24!$A$10:$K$178,11,0)</f>
        <v>4208609.8899999997</v>
      </c>
      <c r="AU147" s="29">
        <f t="shared" si="92"/>
        <v>27688.222960526313</v>
      </c>
      <c r="AV147" s="29">
        <f t="shared" si="95"/>
        <v>13844.111480263156</v>
      </c>
      <c r="AW147" s="29">
        <f t="shared" si="93"/>
        <v>337037.7386674477</v>
      </c>
    </row>
    <row r="148" spans="1:49">
      <c r="A148" s="1" t="s">
        <v>30</v>
      </c>
      <c r="B148" s="1" t="s">
        <v>30</v>
      </c>
      <c r="C148" s="97">
        <v>660780743</v>
      </c>
      <c r="D148" s="1" t="s">
        <v>183</v>
      </c>
      <c r="E148" s="1" t="s">
        <v>25</v>
      </c>
      <c r="F148" s="44">
        <v>65433</v>
      </c>
      <c r="G148" s="44">
        <v>51719</v>
      </c>
      <c r="H148" s="44">
        <v>13714</v>
      </c>
      <c r="I148" s="45">
        <v>0.35599999999999998</v>
      </c>
      <c r="J148" s="45">
        <v>79.150000000000006</v>
      </c>
      <c r="K148" s="45">
        <v>9.23</v>
      </c>
      <c r="L148" s="45">
        <v>2.99</v>
      </c>
      <c r="M148" s="45">
        <v>2.4</v>
      </c>
      <c r="N148" s="35">
        <v>66</v>
      </c>
      <c r="O148" s="35" t="s">
        <v>26</v>
      </c>
      <c r="P148" s="35">
        <v>144</v>
      </c>
      <c r="Q148" s="35">
        <v>75</v>
      </c>
      <c r="R148" s="225">
        <f t="shared" si="94"/>
        <v>0.98399923896499242</v>
      </c>
      <c r="S148" s="225">
        <f>+H148/(Q148*365)</f>
        <v>0.50096803652968036</v>
      </c>
      <c r="T148" s="225"/>
      <c r="U148" s="78">
        <f t="shared" si="77"/>
        <v>0</v>
      </c>
      <c r="V148" s="78">
        <f t="shared" si="78"/>
        <v>33.67739726027397</v>
      </c>
      <c r="W148" s="36">
        <f t="shared" si="79"/>
        <v>144</v>
      </c>
      <c r="X148" s="36">
        <f t="shared" si="80"/>
        <v>75</v>
      </c>
      <c r="Y148" s="40">
        <f>IF(B148="Public", 'synthèse v2'!$F$62/1000, IF(B148="Privé non lucratif",'synthèse v2'!$F$61/1000, IF(B148="Privé", 'synthèse v2'!$F$60/1000, "")))</f>
        <v>26.522545062955601</v>
      </c>
      <c r="Z148" s="40">
        <f t="shared" si="76"/>
        <v>13.2612725314778</v>
      </c>
      <c r="AA148" s="40">
        <f t="shared" si="81"/>
        <v>0</v>
      </c>
      <c r="AB148" s="40">
        <f t="shared" si="82"/>
        <v>33.67739726027397</v>
      </c>
      <c r="AC148" s="34">
        <f t="shared" si="83"/>
        <v>0</v>
      </c>
      <c r="AD148" s="34">
        <f t="shared" si="84"/>
        <v>446.60514321933692</v>
      </c>
      <c r="AE148" s="34">
        <f t="shared" si="85"/>
        <v>446.60514321933692</v>
      </c>
      <c r="AF148" s="36">
        <v>0</v>
      </c>
      <c r="AG148" s="36">
        <v>0</v>
      </c>
      <c r="AH148" s="39">
        <v>0</v>
      </c>
      <c r="AI148" s="39">
        <v>0</v>
      </c>
      <c r="AJ148" s="36">
        <f t="shared" si="86"/>
        <v>0</v>
      </c>
      <c r="AK148" s="36">
        <f t="shared" si="87"/>
        <v>0</v>
      </c>
      <c r="AL148" s="40"/>
      <c r="AM148" s="40"/>
      <c r="AN148" s="34">
        <f t="shared" si="88"/>
        <v>0</v>
      </c>
      <c r="AO148" s="34">
        <f t="shared" si="89"/>
        <v>0</v>
      </c>
      <c r="AP148" s="34">
        <f t="shared" si="90"/>
        <v>0</v>
      </c>
      <c r="AR148" s="34">
        <f t="shared" si="91"/>
        <v>446.60514321933692</v>
      </c>
      <c r="AS148" s="34"/>
      <c r="AT148" s="29">
        <f>+VLOOKUP(C148,dotpop24!$A$10:$K$178,11,0)</f>
        <v>4781238.17</v>
      </c>
      <c r="AU148" s="29">
        <f t="shared" si="92"/>
        <v>26342.910027548209</v>
      </c>
      <c r="AV148" s="29">
        <f t="shared" si="95"/>
        <v>13171.455013774104</v>
      </c>
      <c r="AW148" s="29">
        <f t="shared" si="93"/>
        <v>443580.3229946979</v>
      </c>
    </row>
    <row r="149" spans="1:49">
      <c r="A149" s="1" t="s">
        <v>30</v>
      </c>
      <c r="B149" s="1" t="s">
        <v>30</v>
      </c>
      <c r="C149" s="97">
        <v>660780800</v>
      </c>
      <c r="D149" s="1" t="s">
        <v>184</v>
      </c>
      <c r="E149" s="1" t="s">
        <v>25</v>
      </c>
      <c r="F149" s="44">
        <v>19251</v>
      </c>
      <c r="G149" s="44">
        <v>19251</v>
      </c>
      <c r="H149" s="44">
        <v>0</v>
      </c>
      <c r="I149" s="45">
        <v>0.51</v>
      </c>
      <c r="J149" s="45">
        <v>65.23</v>
      </c>
      <c r="K149" s="45">
        <v>5.69</v>
      </c>
      <c r="L149" s="45">
        <v>3.46</v>
      </c>
      <c r="M149" s="45">
        <v>2.4700000000000002</v>
      </c>
      <c r="N149" s="35">
        <v>66</v>
      </c>
      <c r="O149" s="35" t="s">
        <v>26</v>
      </c>
      <c r="P149" s="35">
        <v>83</v>
      </c>
      <c r="Q149" s="35">
        <v>0</v>
      </c>
      <c r="R149" s="225">
        <f t="shared" si="94"/>
        <v>0.63545139461957423</v>
      </c>
      <c r="S149" s="225"/>
      <c r="T149" s="225"/>
      <c r="U149" s="78">
        <f t="shared" si="77"/>
        <v>21.957534246575342</v>
      </c>
      <c r="V149" s="78">
        <f t="shared" si="78"/>
        <v>0</v>
      </c>
      <c r="W149" s="36">
        <f t="shared" si="79"/>
        <v>83</v>
      </c>
      <c r="X149" s="36">
        <f t="shared" si="80"/>
        <v>0</v>
      </c>
      <c r="Y149" s="40">
        <f>IF(B149="Public", 'synthèse v2'!$F$62/1000, IF(B149="Privé non lucratif",'synthèse v2'!$F$61/1000, IF(B149="Privé", 'synthèse v2'!$F$60/1000, "")))</f>
        <v>26.522545062955601</v>
      </c>
      <c r="Z149" s="40">
        <f t="shared" si="76"/>
        <v>13.2612725314778</v>
      </c>
      <c r="AA149" s="40">
        <f t="shared" si="81"/>
        <v>21.957534246575342</v>
      </c>
      <c r="AB149" s="40">
        <f t="shared" si="82"/>
        <v>0</v>
      </c>
      <c r="AC149" s="34">
        <f t="shared" si="83"/>
        <v>582.36969152618542</v>
      </c>
      <c r="AD149" s="34">
        <f t="shared" si="84"/>
        <v>0</v>
      </c>
      <c r="AE149" s="34">
        <f t="shared" si="85"/>
        <v>582.36969152618542</v>
      </c>
      <c r="AF149" s="36">
        <v>0</v>
      </c>
      <c r="AG149" s="36">
        <v>0</v>
      </c>
      <c r="AH149" s="39">
        <v>0</v>
      </c>
      <c r="AI149" s="39">
        <v>0</v>
      </c>
      <c r="AJ149" s="36">
        <f t="shared" si="86"/>
        <v>0</v>
      </c>
      <c r="AK149" s="36">
        <f t="shared" si="87"/>
        <v>0</v>
      </c>
      <c r="AL149" s="40"/>
      <c r="AM149" s="40"/>
      <c r="AN149" s="34">
        <f t="shared" si="88"/>
        <v>0</v>
      </c>
      <c r="AO149" s="34">
        <f t="shared" si="89"/>
        <v>0</v>
      </c>
      <c r="AP149" s="34">
        <f t="shared" si="90"/>
        <v>0</v>
      </c>
      <c r="AR149" s="34">
        <f t="shared" si="91"/>
        <v>582.36969152618542</v>
      </c>
      <c r="AS149" s="34"/>
      <c r="AT149" s="29">
        <f>+VLOOKUP(C149,dotpop24!$A$10:$K$178,11,0)</f>
        <v>1870781.07</v>
      </c>
      <c r="AU149" s="29">
        <f t="shared" si="92"/>
        <v>22539.530963855421</v>
      </c>
      <c r="AV149" s="29">
        <f t="shared" si="95"/>
        <v>11269.76548192771</v>
      </c>
      <c r="AW149" s="29">
        <f t="shared" si="93"/>
        <v>494912.52304060076</v>
      </c>
    </row>
    <row r="150" spans="1:49">
      <c r="A150" s="1" t="s">
        <v>30</v>
      </c>
      <c r="B150" s="1" t="s">
        <v>30</v>
      </c>
      <c r="C150" s="97">
        <v>660780842</v>
      </c>
      <c r="D150" s="1" t="s">
        <v>185</v>
      </c>
      <c r="E150" s="1" t="s">
        <v>25</v>
      </c>
      <c r="F150" s="44">
        <v>22204</v>
      </c>
      <c r="G150" s="44">
        <v>22204</v>
      </c>
      <c r="H150" s="44">
        <v>0</v>
      </c>
      <c r="I150" s="45">
        <v>0.82899999999999996</v>
      </c>
      <c r="J150" s="45">
        <v>42.28</v>
      </c>
      <c r="K150" s="45">
        <v>4.01</v>
      </c>
      <c r="L150" s="45">
        <v>5</v>
      </c>
      <c r="M150" s="45">
        <v>2.61</v>
      </c>
      <c r="N150" s="35">
        <v>66</v>
      </c>
      <c r="O150" s="35" t="s">
        <v>26</v>
      </c>
      <c r="P150" s="35">
        <v>68</v>
      </c>
      <c r="Q150" s="35">
        <v>0</v>
      </c>
      <c r="R150" s="225">
        <f t="shared" si="94"/>
        <v>0.89460112812248183</v>
      </c>
      <c r="S150" s="225"/>
      <c r="T150" s="225"/>
      <c r="U150" s="78">
        <f t="shared" si="77"/>
        <v>0.36712328767123287</v>
      </c>
      <c r="V150" s="78">
        <f t="shared" si="78"/>
        <v>0</v>
      </c>
      <c r="W150" s="36">
        <f t="shared" si="79"/>
        <v>68</v>
      </c>
      <c r="X150" s="36">
        <f t="shared" si="80"/>
        <v>0</v>
      </c>
      <c r="Y150" s="40">
        <f>IF(B150="Public", 'synthèse v2'!$F$62/1000, IF(B150="Privé non lucratif",'synthèse v2'!$F$61/1000, IF(B150="Privé", 'synthèse v2'!$F$60/1000, "")))</f>
        <v>26.522545062955601</v>
      </c>
      <c r="Z150" s="40">
        <f t="shared" si="76"/>
        <v>13.2612725314778</v>
      </c>
      <c r="AA150" s="40">
        <f t="shared" si="81"/>
        <v>0.36712328767123287</v>
      </c>
      <c r="AB150" s="40">
        <f t="shared" si="82"/>
        <v>0</v>
      </c>
      <c r="AC150" s="34">
        <f t="shared" si="83"/>
        <v>9.7370439409206853</v>
      </c>
      <c r="AD150" s="34">
        <f t="shared" si="84"/>
        <v>0</v>
      </c>
      <c r="AE150" s="34">
        <f t="shared" si="85"/>
        <v>9.7370439409206853</v>
      </c>
      <c r="AF150" s="36">
        <v>0</v>
      </c>
      <c r="AG150" s="36">
        <v>0</v>
      </c>
      <c r="AH150" s="39">
        <v>0</v>
      </c>
      <c r="AI150" s="39">
        <v>0</v>
      </c>
      <c r="AJ150" s="36">
        <f t="shared" si="86"/>
        <v>0</v>
      </c>
      <c r="AK150" s="36">
        <f t="shared" si="87"/>
        <v>0</v>
      </c>
      <c r="AL150" s="40"/>
      <c r="AM150" s="40"/>
      <c r="AN150" s="34">
        <f t="shared" si="88"/>
        <v>0</v>
      </c>
      <c r="AO150" s="34">
        <f t="shared" si="89"/>
        <v>0</v>
      </c>
      <c r="AP150" s="34">
        <f t="shared" si="90"/>
        <v>0</v>
      </c>
      <c r="AR150" s="34">
        <f t="shared" si="91"/>
        <v>9.7370439409206853</v>
      </c>
      <c r="AS150" s="34"/>
      <c r="AT150" s="29">
        <f>+VLOOKUP(C150,dotpop24!$A$10:$K$178,11,0)</f>
        <v>1793464</v>
      </c>
      <c r="AU150" s="29">
        <f t="shared" si="92"/>
        <v>26374.470588235294</v>
      </c>
      <c r="AV150" s="29">
        <f t="shared" si="95"/>
        <v>13187.235294117647</v>
      </c>
      <c r="AW150" s="29">
        <f t="shared" si="93"/>
        <v>9682.6823529411758</v>
      </c>
    </row>
    <row r="151" spans="1:49">
      <c r="A151" s="1" t="s">
        <v>30</v>
      </c>
      <c r="B151" s="1" t="s">
        <v>30</v>
      </c>
      <c r="C151" s="97">
        <v>660781097</v>
      </c>
      <c r="D151" s="1" t="s">
        <v>186</v>
      </c>
      <c r="E151" s="1" t="s">
        <v>25</v>
      </c>
      <c r="F151" s="44">
        <v>13721</v>
      </c>
      <c r="G151" s="44">
        <v>13721</v>
      </c>
      <c r="H151" s="44">
        <v>0</v>
      </c>
      <c r="I151" s="45">
        <v>0.38100000000000001</v>
      </c>
      <c r="J151" s="45">
        <v>80.66</v>
      </c>
      <c r="K151" s="45">
        <v>11.18</v>
      </c>
      <c r="L151" s="45">
        <v>3.99</v>
      </c>
      <c r="M151" s="45">
        <v>1.24</v>
      </c>
      <c r="N151" s="35">
        <v>66</v>
      </c>
      <c r="O151" s="35" t="s">
        <v>26</v>
      </c>
      <c r="P151" s="35">
        <v>42</v>
      </c>
      <c r="Q151" s="35">
        <v>0</v>
      </c>
      <c r="R151" s="225">
        <f t="shared" si="94"/>
        <v>0.89504240052185258</v>
      </c>
      <c r="S151" s="225"/>
      <c r="T151" s="225"/>
      <c r="U151" s="78">
        <f t="shared" si="77"/>
        <v>0.20821917808219179</v>
      </c>
      <c r="V151" s="78">
        <f t="shared" si="78"/>
        <v>0</v>
      </c>
      <c r="W151" s="36">
        <f t="shared" si="79"/>
        <v>42</v>
      </c>
      <c r="X151" s="36">
        <f t="shared" si="80"/>
        <v>0</v>
      </c>
      <c r="Y151" s="40">
        <f>IF(B151="Public", 'synthèse v2'!$F$62/1000, IF(B151="Privé non lucratif",'synthèse v2'!$F$61/1000, IF(B151="Privé", 'synthèse v2'!$F$60/1000, "")))</f>
        <v>26.522545062955601</v>
      </c>
      <c r="Z151" s="40">
        <f t="shared" si="76"/>
        <v>13.2612725314778</v>
      </c>
      <c r="AA151" s="40">
        <f t="shared" si="81"/>
        <v>0.20821917808219179</v>
      </c>
      <c r="AB151" s="40">
        <f t="shared" si="82"/>
        <v>0</v>
      </c>
      <c r="AC151" s="34">
        <f t="shared" si="83"/>
        <v>5.5225025336565086</v>
      </c>
      <c r="AD151" s="34">
        <f t="shared" si="84"/>
        <v>0</v>
      </c>
      <c r="AE151" s="34">
        <f t="shared" si="85"/>
        <v>5.5225025336565086</v>
      </c>
      <c r="AF151" s="36">
        <v>0</v>
      </c>
      <c r="AG151" s="36">
        <v>0</v>
      </c>
      <c r="AH151" s="39">
        <v>0</v>
      </c>
      <c r="AI151" s="39">
        <v>0</v>
      </c>
      <c r="AJ151" s="36">
        <f t="shared" si="86"/>
        <v>0</v>
      </c>
      <c r="AK151" s="36">
        <f t="shared" si="87"/>
        <v>0</v>
      </c>
      <c r="AL151" s="40"/>
      <c r="AM151" s="40"/>
      <c r="AN151" s="34">
        <f t="shared" si="88"/>
        <v>0</v>
      </c>
      <c r="AO151" s="34">
        <f t="shared" si="89"/>
        <v>0</v>
      </c>
      <c r="AP151" s="34">
        <f t="shared" si="90"/>
        <v>0</v>
      </c>
      <c r="AR151" s="34">
        <f t="shared" si="91"/>
        <v>5.5225025336565086</v>
      </c>
      <c r="AS151" s="34"/>
      <c r="AT151" s="29">
        <f>+VLOOKUP(C151,dotpop24!$A$10:$K$178,11,0)</f>
        <v>1091206.98</v>
      </c>
      <c r="AU151" s="29">
        <f t="shared" si="92"/>
        <v>25981.118571428571</v>
      </c>
      <c r="AV151" s="29">
        <f t="shared" si="95"/>
        <v>12990.559285714286</v>
      </c>
      <c r="AW151" s="29">
        <f t="shared" si="93"/>
        <v>5409.767154598826</v>
      </c>
    </row>
    <row r="152" spans="1:49">
      <c r="A152" s="1" t="s">
        <v>30</v>
      </c>
      <c r="B152" s="1" t="s">
        <v>30</v>
      </c>
      <c r="C152" s="97">
        <v>660781287</v>
      </c>
      <c r="D152" s="1" t="s">
        <v>187</v>
      </c>
      <c r="E152" s="1" t="s">
        <v>25</v>
      </c>
      <c r="F152" s="44">
        <v>54686</v>
      </c>
      <c r="G152" s="44">
        <v>40113</v>
      </c>
      <c r="H152" s="44">
        <v>14573</v>
      </c>
      <c r="I152" s="45">
        <v>0.46200000000000002</v>
      </c>
      <c r="J152" s="45">
        <v>69.78</v>
      </c>
      <c r="K152" s="45">
        <v>8.18</v>
      </c>
      <c r="L152" s="45">
        <v>3.05</v>
      </c>
      <c r="M152" s="45">
        <v>4.6100000000000003</v>
      </c>
      <c r="N152" s="35">
        <v>66</v>
      </c>
      <c r="O152" s="35" t="s">
        <v>26</v>
      </c>
      <c r="P152" s="35">
        <v>120</v>
      </c>
      <c r="Q152" s="35">
        <v>105</v>
      </c>
      <c r="R152" s="225">
        <f t="shared" si="94"/>
        <v>0.9158219178082192</v>
      </c>
      <c r="S152" s="225">
        <f>+H152/(Q152*365)</f>
        <v>0.38024787997390735</v>
      </c>
      <c r="T152" s="225"/>
      <c r="U152" s="78">
        <f t="shared" si="77"/>
        <v>0</v>
      </c>
      <c r="V152" s="78">
        <f t="shared" si="78"/>
        <v>59.823972602739723</v>
      </c>
      <c r="W152" s="36">
        <f t="shared" si="79"/>
        <v>120</v>
      </c>
      <c r="X152" s="36">
        <f t="shared" si="80"/>
        <v>105</v>
      </c>
      <c r="Y152" s="40">
        <f>IF(B152="Public", 'synthèse v2'!$F$62/1000, IF(B152="Privé non lucratif",'synthèse v2'!$F$61/1000, IF(B152="Privé", 'synthèse v2'!$F$60/1000, "")))</f>
        <v>26.522545062955601</v>
      </c>
      <c r="Z152" s="40">
        <f t="shared" si="76"/>
        <v>13.2612725314778</v>
      </c>
      <c r="AA152" s="40">
        <f t="shared" si="81"/>
        <v>0</v>
      </c>
      <c r="AB152" s="40">
        <f t="shared" si="82"/>
        <v>59.823972602739723</v>
      </c>
      <c r="AC152" s="34">
        <f t="shared" si="83"/>
        <v>0</v>
      </c>
      <c r="AD152" s="34">
        <f t="shared" si="84"/>
        <v>793.34200460059276</v>
      </c>
      <c r="AE152" s="34">
        <f t="shared" si="85"/>
        <v>793.34200460059276</v>
      </c>
      <c r="AF152" s="36">
        <v>0</v>
      </c>
      <c r="AG152" s="36">
        <v>0</v>
      </c>
      <c r="AH152" s="39">
        <v>0</v>
      </c>
      <c r="AI152" s="39">
        <v>0</v>
      </c>
      <c r="AJ152" s="36">
        <f t="shared" si="86"/>
        <v>0</v>
      </c>
      <c r="AK152" s="36">
        <f t="shared" si="87"/>
        <v>0</v>
      </c>
      <c r="AL152" s="40"/>
      <c r="AM152" s="40"/>
      <c r="AN152" s="34">
        <f t="shared" si="88"/>
        <v>0</v>
      </c>
      <c r="AO152" s="34">
        <f t="shared" si="89"/>
        <v>0</v>
      </c>
      <c r="AP152" s="34">
        <f t="shared" si="90"/>
        <v>0</v>
      </c>
      <c r="AR152" s="34">
        <f t="shared" si="91"/>
        <v>793.34200460059276</v>
      </c>
      <c r="AS152" s="34"/>
      <c r="AT152" s="29">
        <f>+VLOOKUP(C152,dotpop24!$A$10:$K$178,11,0)</f>
        <v>4545897.3</v>
      </c>
      <c r="AU152" s="29">
        <f t="shared" si="92"/>
        <v>26353.027826086956</v>
      </c>
      <c r="AV152" s="29">
        <f t="shared" si="95"/>
        <v>13176.513913043478</v>
      </c>
      <c r="AW152" s="29">
        <f t="shared" si="93"/>
        <v>788271.40733353177</v>
      </c>
    </row>
    <row r="153" spans="1:49">
      <c r="A153" s="1" t="s">
        <v>30</v>
      </c>
      <c r="B153" s="1" t="s">
        <v>30</v>
      </c>
      <c r="C153" s="97">
        <v>660790163</v>
      </c>
      <c r="D153" s="1" t="s">
        <v>188</v>
      </c>
      <c r="E153" s="1" t="s">
        <v>25</v>
      </c>
      <c r="F153" s="44">
        <v>77727</v>
      </c>
      <c r="G153" s="44">
        <v>63738</v>
      </c>
      <c r="H153" s="44">
        <v>13989</v>
      </c>
      <c r="I153" s="45">
        <v>0.45</v>
      </c>
      <c r="J153" s="45">
        <v>71.150000000000006</v>
      </c>
      <c r="K153" s="45">
        <v>7.95</v>
      </c>
      <c r="L153" s="45">
        <v>3.04</v>
      </c>
      <c r="M153" s="45">
        <v>2.76</v>
      </c>
      <c r="N153" s="35">
        <v>66</v>
      </c>
      <c r="O153" s="35" t="s">
        <v>26</v>
      </c>
      <c r="P153" s="35">
        <v>185</v>
      </c>
      <c r="Q153" s="35">
        <v>20</v>
      </c>
      <c r="R153" s="225">
        <f t="shared" si="94"/>
        <v>0.94391706775268414</v>
      </c>
      <c r="S153" s="225">
        <f>+H153/(Q153*365)</f>
        <v>1.9163013698630138</v>
      </c>
      <c r="T153" s="225"/>
      <c r="U153" s="78">
        <f t="shared" si="77"/>
        <v>0</v>
      </c>
      <c r="V153" s="78">
        <f t="shared" si="78"/>
        <v>0</v>
      </c>
      <c r="W153" s="36">
        <f t="shared" si="79"/>
        <v>185</v>
      </c>
      <c r="X153" s="36">
        <f t="shared" si="80"/>
        <v>20</v>
      </c>
      <c r="Y153" s="40">
        <f>IF(B153="Public", 'synthèse v2'!$F$62/1000, IF(B153="Privé non lucratif",'synthèse v2'!$F$61/1000, IF(B153="Privé", 'synthèse v2'!$F$60/1000, "")))</f>
        <v>26.522545062955601</v>
      </c>
      <c r="Z153" s="40">
        <f t="shared" si="76"/>
        <v>13.2612725314778</v>
      </c>
      <c r="AA153" s="40">
        <f t="shared" si="81"/>
        <v>0</v>
      </c>
      <c r="AB153" s="40">
        <f t="shared" si="82"/>
        <v>0</v>
      </c>
      <c r="AC153" s="34">
        <f t="shared" si="83"/>
        <v>0</v>
      </c>
      <c r="AD153" s="34">
        <f t="shared" si="84"/>
        <v>0</v>
      </c>
      <c r="AE153" s="34">
        <f t="shared" si="85"/>
        <v>0</v>
      </c>
      <c r="AF153" s="36">
        <v>0</v>
      </c>
      <c r="AG153" s="36">
        <v>0</v>
      </c>
      <c r="AH153" s="39">
        <v>0</v>
      </c>
      <c r="AI153" s="39">
        <v>0</v>
      </c>
      <c r="AJ153" s="36">
        <f t="shared" si="86"/>
        <v>0</v>
      </c>
      <c r="AK153" s="36">
        <f t="shared" si="87"/>
        <v>0</v>
      </c>
      <c r="AL153" s="40"/>
      <c r="AM153" s="40"/>
      <c r="AN153" s="34">
        <f t="shared" si="88"/>
        <v>0</v>
      </c>
      <c r="AO153" s="34">
        <f t="shared" si="89"/>
        <v>0</v>
      </c>
      <c r="AP153" s="34">
        <f t="shared" si="90"/>
        <v>0</v>
      </c>
      <c r="AR153" s="34">
        <f t="shared" si="91"/>
        <v>0</v>
      </c>
      <c r="AS153" s="34"/>
      <c r="AT153" s="29">
        <f>+VLOOKUP(C153,dotpop24!$A$10:$K$178,11,0)</f>
        <v>6503389.04</v>
      </c>
      <c r="AU153" s="29">
        <f t="shared" si="92"/>
        <v>33350.713025641024</v>
      </c>
      <c r="AV153" s="29">
        <f t="shared" si="95"/>
        <v>16675.356512820512</v>
      </c>
      <c r="AW153" s="29">
        <f t="shared" si="93"/>
        <v>0</v>
      </c>
    </row>
    <row r="154" spans="1:49">
      <c r="A154" s="1" t="s">
        <v>33</v>
      </c>
      <c r="B154" s="1" t="s">
        <v>34</v>
      </c>
      <c r="C154" s="97">
        <v>810000158</v>
      </c>
      <c r="D154" s="1" t="s">
        <v>189</v>
      </c>
      <c r="E154" s="1" t="s">
        <v>25</v>
      </c>
      <c r="F154" s="44">
        <v>10280</v>
      </c>
      <c r="G154" s="44">
        <v>10280</v>
      </c>
      <c r="H154" s="44">
        <v>0</v>
      </c>
      <c r="I154" s="45">
        <v>0.216</v>
      </c>
      <c r="J154" s="45">
        <v>81.95</v>
      </c>
      <c r="K154" s="45">
        <v>9.8699999999999992</v>
      </c>
      <c r="L154" s="45">
        <v>3.61</v>
      </c>
      <c r="M154" s="45">
        <v>1.06</v>
      </c>
      <c r="N154" s="35">
        <v>81</v>
      </c>
      <c r="O154" s="35" t="s">
        <v>26</v>
      </c>
      <c r="P154" s="35">
        <v>30</v>
      </c>
      <c r="Q154" s="35">
        <v>0</v>
      </c>
      <c r="R154" s="225">
        <f t="shared" si="94"/>
        <v>0.93881278538812785</v>
      </c>
      <c r="S154" s="225"/>
      <c r="T154" s="225"/>
      <c r="U154" s="78">
        <f t="shared" si="77"/>
        <v>0</v>
      </c>
      <c r="V154" s="78">
        <f t="shared" si="78"/>
        <v>0</v>
      </c>
      <c r="W154" s="36">
        <f t="shared" si="79"/>
        <v>30</v>
      </c>
      <c r="X154" s="36">
        <f t="shared" si="80"/>
        <v>0</v>
      </c>
      <c r="Y154" s="40">
        <f>IF(B154="Public", 'synthèse v2'!$F$62/1000, IF(B154="Privé non lucratif",'synthèse v2'!$F$61/1000, IF(B154="Privé", 'synthèse v2'!$F$60/1000, "")))</f>
        <v>36.984345997610518</v>
      </c>
      <c r="Z154" s="40">
        <f t="shared" si="76"/>
        <v>18.492172998805259</v>
      </c>
      <c r="AA154" s="40">
        <f t="shared" si="81"/>
        <v>0</v>
      </c>
      <c r="AB154" s="40">
        <f t="shared" si="82"/>
        <v>0</v>
      </c>
      <c r="AC154" s="34">
        <f t="shared" si="83"/>
        <v>0</v>
      </c>
      <c r="AD154" s="34">
        <f t="shared" si="84"/>
        <v>0</v>
      </c>
      <c r="AE154" s="34">
        <f t="shared" si="85"/>
        <v>0</v>
      </c>
      <c r="AF154" s="36">
        <v>0</v>
      </c>
      <c r="AG154" s="36">
        <v>0</v>
      </c>
      <c r="AH154" s="39">
        <v>0</v>
      </c>
      <c r="AI154" s="39">
        <v>0</v>
      </c>
      <c r="AJ154" s="36">
        <f t="shared" si="86"/>
        <v>0</v>
      </c>
      <c r="AK154" s="36">
        <f t="shared" si="87"/>
        <v>0</v>
      </c>
      <c r="AL154" s="40"/>
      <c r="AM154" s="40"/>
      <c r="AN154" s="34">
        <f t="shared" si="88"/>
        <v>0</v>
      </c>
      <c r="AO154" s="34">
        <f t="shared" si="89"/>
        <v>0</v>
      </c>
      <c r="AP154" s="34">
        <f t="shared" si="90"/>
        <v>0</v>
      </c>
      <c r="AR154" s="34">
        <f t="shared" si="91"/>
        <v>0</v>
      </c>
      <c r="AS154" s="34"/>
      <c r="AT154" s="29">
        <f>+VLOOKUP(C154,dotpop24!$A$10:$K$178,11,0)</f>
        <v>1206001.53</v>
      </c>
      <c r="AU154" s="29">
        <f t="shared" si="92"/>
        <v>40200.050999999999</v>
      </c>
      <c r="AV154" s="29">
        <f t="shared" si="95"/>
        <v>20100.0255</v>
      </c>
      <c r="AW154" s="29">
        <f t="shared" si="93"/>
        <v>0</v>
      </c>
    </row>
    <row r="155" spans="1:49">
      <c r="A155" s="1" t="s">
        <v>33</v>
      </c>
      <c r="B155" s="1" t="s">
        <v>34</v>
      </c>
      <c r="C155" s="97">
        <v>810000232</v>
      </c>
      <c r="D155" s="1" t="s">
        <v>190</v>
      </c>
      <c r="E155" s="1" t="s">
        <v>25</v>
      </c>
      <c r="F155" s="44">
        <v>42347</v>
      </c>
      <c r="G155" s="44">
        <v>34626</v>
      </c>
      <c r="H155" s="44">
        <v>7721</v>
      </c>
      <c r="I155" s="45">
        <v>0.52200000000000002</v>
      </c>
      <c r="J155" s="45">
        <v>59.57</v>
      </c>
      <c r="K155" s="45">
        <v>8.44</v>
      </c>
      <c r="L155" s="45">
        <v>3.92</v>
      </c>
      <c r="M155" s="45">
        <v>4.0999999999999996</v>
      </c>
      <c r="N155" s="35">
        <v>81</v>
      </c>
      <c r="O155" s="35" t="s">
        <v>26</v>
      </c>
      <c r="P155" s="35">
        <v>104</v>
      </c>
      <c r="Q155" s="35">
        <v>29</v>
      </c>
      <c r="R155" s="225">
        <f t="shared" si="94"/>
        <v>0.91217070600632244</v>
      </c>
      <c r="S155" s="225">
        <f>+H155/(Q155*365)</f>
        <v>0.72942843646669819</v>
      </c>
      <c r="T155" s="225"/>
      <c r="U155" s="78">
        <f t="shared" si="77"/>
        <v>0</v>
      </c>
      <c r="V155" s="78">
        <f t="shared" si="78"/>
        <v>6.396575342465753</v>
      </c>
      <c r="W155" s="36">
        <f t="shared" si="79"/>
        <v>104</v>
      </c>
      <c r="X155" s="36">
        <f t="shared" si="80"/>
        <v>29</v>
      </c>
      <c r="Y155" s="40">
        <f>IF(B155="Public", 'synthèse v2'!$F$62/1000, IF(B155="Privé non lucratif",'synthèse v2'!$F$61/1000, IF(B155="Privé", 'synthèse v2'!$F$60/1000, "")))</f>
        <v>36.984345997610518</v>
      </c>
      <c r="Z155" s="40">
        <f t="shared" si="76"/>
        <v>18.492172998805259</v>
      </c>
      <c r="AA155" s="40">
        <f t="shared" si="81"/>
        <v>0</v>
      </c>
      <c r="AB155" s="40">
        <f t="shared" si="82"/>
        <v>6.396575342465753</v>
      </c>
      <c r="AC155" s="34">
        <f t="shared" si="83"/>
        <v>0</v>
      </c>
      <c r="AD155" s="34">
        <f t="shared" si="84"/>
        <v>118.2865778327687</v>
      </c>
      <c r="AE155" s="34">
        <f t="shared" si="85"/>
        <v>118.2865778327687</v>
      </c>
      <c r="AF155" s="36">
        <v>0</v>
      </c>
      <c r="AG155" s="36">
        <v>0</v>
      </c>
      <c r="AH155" s="39">
        <v>0</v>
      </c>
      <c r="AI155" s="39">
        <v>0</v>
      </c>
      <c r="AJ155" s="36">
        <f t="shared" si="86"/>
        <v>0</v>
      </c>
      <c r="AK155" s="36">
        <f t="shared" si="87"/>
        <v>0</v>
      </c>
      <c r="AL155" s="40"/>
      <c r="AM155" s="40"/>
      <c r="AN155" s="34">
        <f t="shared" si="88"/>
        <v>0</v>
      </c>
      <c r="AO155" s="34">
        <f t="shared" si="89"/>
        <v>0</v>
      </c>
      <c r="AP155" s="34">
        <f t="shared" si="90"/>
        <v>0</v>
      </c>
      <c r="AR155" s="34">
        <f t="shared" si="91"/>
        <v>118.2865778327687</v>
      </c>
      <c r="AS155" s="34"/>
      <c r="AT155" s="29">
        <f>+VLOOKUP(C155,dotpop24!$A$10:$K$178,11,0)</f>
        <v>4886348.83</v>
      </c>
      <c r="AU155" s="29">
        <f t="shared" si="92"/>
        <v>41235.011223628695</v>
      </c>
      <c r="AV155" s="29">
        <f t="shared" si="95"/>
        <v>20617.505611814348</v>
      </c>
      <c r="AW155" s="29">
        <f t="shared" si="93"/>
        <v>131881.42801968096</v>
      </c>
    </row>
    <row r="156" spans="1:49">
      <c r="A156" s="1" t="s">
        <v>22</v>
      </c>
      <c r="B156" s="1" t="s">
        <v>23</v>
      </c>
      <c r="C156" s="97">
        <v>810000349</v>
      </c>
      <c r="D156" s="1" t="s">
        <v>191</v>
      </c>
      <c r="E156" s="1" t="s">
        <v>25</v>
      </c>
      <c r="F156" s="44">
        <v>10137</v>
      </c>
      <c r="G156" s="44">
        <v>9159</v>
      </c>
      <c r="H156" s="44">
        <v>978</v>
      </c>
      <c r="I156" s="45">
        <v>0.35699999999999998</v>
      </c>
      <c r="J156" s="45">
        <v>74.5</v>
      </c>
      <c r="K156" s="45">
        <v>8.7100000000000009</v>
      </c>
      <c r="L156" s="45">
        <v>2.64</v>
      </c>
      <c r="M156" s="45">
        <v>1.81</v>
      </c>
      <c r="N156" s="35">
        <v>81</v>
      </c>
      <c r="O156" s="35" t="s">
        <v>26</v>
      </c>
      <c r="P156" s="35">
        <v>27</v>
      </c>
      <c r="Q156" s="35">
        <v>4</v>
      </c>
      <c r="R156" s="225">
        <f t="shared" si="94"/>
        <v>0.92937595129375949</v>
      </c>
      <c r="S156" s="225">
        <f>+H156/(Q156*365)</f>
        <v>0.66986301369863011</v>
      </c>
      <c r="T156" s="225"/>
      <c r="U156" s="78">
        <f t="shared" si="77"/>
        <v>0</v>
      </c>
      <c r="V156" s="78">
        <f t="shared" si="78"/>
        <v>1.1205479452054794</v>
      </c>
      <c r="W156" s="36">
        <f t="shared" si="79"/>
        <v>27</v>
      </c>
      <c r="X156" s="36">
        <f t="shared" si="80"/>
        <v>4</v>
      </c>
      <c r="Y156" s="40">
        <f>IF(B156="Public", 'synthèse v2'!$F$62/1000, IF(B156="Privé non lucratif",'synthèse v2'!$F$61/1000, IF(B156="Privé", 'synthèse v2'!$F$60/1000, "")))</f>
        <v>43.762959354365371</v>
      </c>
      <c r="Z156" s="40">
        <f t="shared" si="76"/>
        <v>21.881479677182686</v>
      </c>
      <c r="AA156" s="40">
        <f t="shared" si="81"/>
        <v>0</v>
      </c>
      <c r="AB156" s="40">
        <f t="shared" si="82"/>
        <v>1.1205479452054794</v>
      </c>
      <c r="AC156" s="34">
        <f t="shared" si="83"/>
        <v>0</v>
      </c>
      <c r="AD156" s="34">
        <f t="shared" si="84"/>
        <v>24.519247090322516</v>
      </c>
      <c r="AE156" s="34">
        <f t="shared" si="85"/>
        <v>24.519247090322516</v>
      </c>
      <c r="AF156" s="36">
        <v>0</v>
      </c>
      <c r="AG156" s="36">
        <v>0</v>
      </c>
      <c r="AH156" s="39">
        <v>0</v>
      </c>
      <c r="AI156" s="39">
        <v>0</v>
      </c>
      <c r="AJ156" s="36">
        <f t="shared" si="86"/>
        <v>0</v>
      </c>
      <c r="AK156" s="36">
        <f t="shared" si="87"/>
        <v>0</v>
      </c>
      <c r="AL156" s="40"/>
      <c r="AM156" s="40"/>
      <c r="AN156" s="34">
        <f t="shared" si="88"/>
        <v>0</v>
      </c>
      <c r="AO156" s="34">
        <f t="shared" si="89"/>
        <v>0</v>
      </c>
      <c r="AP156" s="34">
        <f t="shared" si="90"/>
        <v>0</v>
      </c>
      <c r="AR156" s="34">
        <f t="shared" si="91"/>
        <v>24.519247090322516</v>
      </c>
      <c r="AS156" s="34"/>
      <c r="AT156" s="29">
        <f>+VLOOKUP(C156,dotpop24!$A$10:$K$178,11,0)</f>
        <v>1456450.3</v>
      </c>
      <c r="AU156" s="29">
        <f t="shared" si="92"/>
        <v>50222.424137931033</v>
      </c>
      <c r="AV156" s="29">
        <f t="shared" si="95"/>
        <v>25111.212068965517</v>
      </c>
      <c r="AW156" s="29">
        <f t="shared" si="93"/>
        <v>28138.317085498344</v>
      </c>
    </row>
    <row r="157" spans="1:49">
      <c r="A157" s="1" t="s">
        <v>22</v>
      </c>
      <c r="B157" s="1" t="s">
        <v>23</v>
      </c>
      <c r="C157" s="97">
        <v>810000380</v>
      </c>
      <c r="D157" s="1" t="s">
        <v>192</v>
      </c>
      <c r="E157" s="1" t="s">
        <v>25</v>
      </c>
      <c r="F157" s="44">
        <v>30544</v>
      </c>
      <c r="G157" s="44">
        <v>30278</v>
      </c>
      <c r="H157" s="44">
        <v>266</v>
      </c>
      <c r="I157" s="45">
        <v>0.45400000000000001</v>
      </c>
      <c r="J157" s="45">
        <v>79.290000000000006</v>
      </c>
      <c r="K157" s="45">
        <v>10.29</v>
      </c>
      <c r="L157" s="45">
        <v>4.22</v>
      </c>
      <c r="M157" s="45">
        <v>2.25</v>
      </c>
      <c r="N157" s="35">
        <v>81</v>
      </c>
      <c r="O157" s="35" t="s">
        <v>26</v>
      </c>
      <c r="P157" s="35">
        <v>116</v>
      </c>
      <c r="Q157" s="35">
        <v>7</v>
      </c>
      <c r="R157" s="225">
        <f t="shared" si="94"/>
        <v>0.71511572980632976</v>
      </c>
      <c r="S157" s="225">
        <f>+H157/(Q157*365)</f>
        <v>0.10410958904109589</v>
      </c>
      <c r="T157" s="225"/>
      <c r="U157" s="78">
        <f t="shared" si="77"/>
        <v>21.446575342465742</v>
      </c>
      <c r="V157" s="78">
        <f t="shared" si="78"/>
        <v>5.9212328767123283</v>
      </c>
      <c r="W157" s="36">
        <f t="shared" si="79"/>
        <v>116</v>
      </c>
      <c r="X157" s="36">
        <f t="shared" si="80"/>
        <v>7</v>
      </c>
      <c r="Y157" s="40">
        <f>IF(B157="Public", 'synthèse v2'!$F$62/1000, IF(B157="Privé non lucratif",'synthèse v2'!$F$61/1000, IF(B157="Privé", 'synthèse v2'!$F$60/1000, "")))</f>
        <v>43.762959354365371</v>
      </c>
      <c r="Z157" s="40">
        <f t="shared" si="76"/>
        <v>21.881479677182686</v>
      </c>
      <c r="AA157" s="40">
        <f t="shared" si="81"/>
        <v>21.446575342465742</v>
      </c>
      <c r="AB157" s="40">
        <f t="shared" si="82"/>
        <v>5.9212328767123283</v>
      </c>
      <c r="AC157" s="34">
        <f t="shared" si="83"/>
        <v>938.56560500266289</v>
      </c>
      <c r="AD157" s="34">
        <f t="shared" si="84"/>
        <v>129.56533685564679</v>
      </c>
      <c r="AE157" s="34">
        <f t="shared" si="85"/>
        <v>1068.1309418583096</v>
      </c>
      <c r="AF157" s="36">
        <v>0</v>
      </c>
      <c r="AG157" s="36">
        <v>0</v>
      </c>
      <c r="AH157" s="39">
        <v>0</v>
      </c>
      <c r="AI157" s="39">
        <v>0</v>
      </c>
      <c r="AJ157" s="36">
        <f t="shared" si="86"/>
        <v>0</v>
      </c>
      <c r="AK157" s="36">
        <f t="shared" si="87"/>
        <v>0</v>
      </c>
      <c r="AL157" s="40"/>
      <c r="AM157" s="40"/>
      <c r="AN157" s="34">
        <f t="shared" si="88"/>
        <v>0</v>
      </c>
      <c r="AO157" s="34">
        <f t="shared" si="89"/>
        <v>0</v>
      </c>
      <c r="AP157" s="34">
        <f t="shared" si="90"/>
        <v>0</v>
      </c>
      <c r="AR157" s="34">
        <f t="shared" si="91"/>
        <v>1068.1309418583096</v>
      </c>
      <c r="AS157" s="34"/>
      <c r="AT157" s="29">
        <f>+VLOOKUP(C157,dotpop24!$A$10:$K$178,11,0)</f>
        <v>4556695.26</v>
      </c>
      <c r="AU157" s="29">
        <f t="shared" si="92"/>
        <v>38131.341087866109</v>
      </c>
      <c r="AV157" s="29">
        <f t="shared" si="95"/>
        <v>19065.670543933054</v>
      </c>
      <c r="AW157" s="29">
        <f t="shared" si="93"/>
        <v>930678.95479148231</v>
      </c>
    </row>
    <row r="158" spans="1:49">
      <c r="A158" s="1" t="s">
        <v>22</v>
      </c>
      <c r="B158" s="1" t="s">
        <v>23</v>
      </c>
      <c r="C158" s="97">
        <v>810000398</v>
      </c>
      <c r="D158" s="1" t="s">
        <v>193</v>
      </c>
      <c r="E158" s="1" t="s">
        <v>25</v>
      </c>
      <c r="F158" s="44">
        <v>3985</v>
      </c>
      <c r="G158" s="44">
        <v>3985</v>
      </c>
      <c r="H158" s="44">
        <v>0</v>
      </c>
      <c r="I158" s="45">
        <v>0.36799999999999999</v>
      </c>
      <c r="J158" s="45">
        <v>84.87</v>
      </c>
      <c r="K158" s="45">
        <v>10.39</v>
      </c>
      <c r="L158" s="45">
        <v>3.71</v>
      </c>
      <c r="M158" s="45">
        <v>1.07</v>
      </c>
      <c r="N158" s="35">
        <v>81</v>
      </c>
      <c r="O158" s="35" t="s">
        <v>26</v>
      </c>
      <c r="P158" s="35">
        <v>20</v>
      </c>
      <c r="Q158" s="35">
        <v>0</v>
      </c>
      <c r="R158" s="225">
        <f t="shared" si="94"/>
        <v>0.54589041095890412</v>
      </c>
      <c r="S158" s="225"/>
      <c r="T158" s="225"/>
      <c r="U158" s="78">
        <f t="shared" si="77"/>
        <v>7.0821917808219181</v>
      </c>
      <c r="V158" s="78">
        <f t="shared" si="78"/>
        <v>0</v>
      </c>
      <c r="W158" s="36">
        <f t="shared" si="79"/>
        <v>20</v>
      </c>
      <c r="X158" s="36">
        <f t="shared" si="80"/>
        <v>0</v>
      </c>
      <c r="Y158" s="40">
        <f>IF(B158="Public", 'synthèse v2'!$F$62/1000, IF(B158="Privé non lucratif",'synthèse v2'!$F$61/1000, IF(B158="Privé", 'synthèse v2'!$F$60/1000, "")))</f>
        <v>43.762959354365371</v>
      </c>
      <c r="Z158" s="40">
        <f t="shared" si="76"/>
        <v>21.881479677182686</v>
      </c>
      <c r="AA158" s="40">
        <f t="shared" si="81"/>
        <v>7.0821917808219181</v>
      </c>
      <c r="AB158" s="40">
        <f t="shared" si="82"/>
        <v>0</v>
      </c>
      <c r="AC158" s="34">
        <f t="shared" si="83"/>
        <v>309.9376710439301</v>
      </c>
      <c r="AD158" s="34">
        <f t="shared" si="84"/>
        <v>0</v>
      </c>
      <c r="AE158" s="34">
        <f t="shared" si="85"/>
        <v>309.9376710439301</v>
      </c>
      <c r="AF158" s="36">
        <v>0</v>
      </c>
      <c r="AG158" s="36">
        <v>0</v>
      </c>
      <c r="AH158" s="39">
        <v>0</v>
      </c>
      <c r="AI158" s="39">
        <v>0</v>
      </c>
      <c r="AJ158" s="36">
        <f t="shared" si="86"/>
        <v>0</v>
      </c>
      <c r="AK158" s="36">
        <f t="shared" si="87"/>
        <v>0</v>
      </c>
      <c r="AL158" s="40"/>
      <c r="AM158" s="40"/>
      <c r="AN158" s="34">
        <f t="shared" si="88"/>
        <v>0</v>
      </c>
      <c r="AO158" s="34">
        <f t="shared" si="89"/>
        <v>0</v>
      </c>
      <c r="AP158" s="34">
        <f t="shared" si="90"/>
        <v>0</v>
      </c>
      <c r="AR158" s="34">
        <f t="shared" si="91"/>
        <v>309.9376710439301</v>
      </c>
      <c r="AS158" s="34"/>
      <c r="AT158" s="29">
        <f>+VLOOKUP(C158,dotpop24!$A$10:$K$178,11,0)</f>
        <v>601672.11</v>
      </c>
      <c r="AU158" s="29">
        <f t="shared" si="92"/>
        <v>30083.605499999998</v>
      </c>
      <c r="AV158" s="29">
        <f t="shared" si="95"/>
        <v>15041.802749999999</v>
      </c>
      <c r="AW158" s="29">
        <f t="shared" si="93"/>
        <v>213057.86360958903</v>
      </c>
    </row>
    <row r="159" spans="1:49">
      <c r="A159" s="1" t="s">
        <v>33</v>
      </c>
      <c r="B159" s="1" t="s">
        <v>34</v>
      </c>
      <c r="C159" s="97">
        <v>810000448</v>
      </c>
      <c r="D159" s="1" t="s">
        <v>194</v>
      </c>
      <c r="E159" s="1" t="s">
        <v>25</v>
      </c>
      <c r="F159" s="44">
        <v>10463</v>
      </c>
      <c r="G159" s="44">
        <v>8764</v>
      </c>
      <c r="H159" s="44">
        <v>1699</v>
      </c>
      <c r="I159" s="45">
        <v>0.33400000000000002</v>
      </c>
      <c r="J159" s="45">
        <v>84.3</v>
      </c>
      <c r="K159" s="45">
        <v>10.44</v>
      </c>
      <c r="L159" s="45">
        <v>4.24</v>
      </c>
      <c r="M159" s="45">
        <v>1.34</v>
      </c>
      <c r="N159" s="35">
        <v>81</v>
      </c>
      <c r="O159" s="35" t="s">
        <v>26</v>
      </c>
      <c r="P159" s="35">
        <v>30</v>
      </c>
      <c r="Q159" s="35">
        <v>5</v>
      </c>
      <c r="R159" s="225">
        <f t="shared" si="94"/>
        <v>0.80036529680365298</v>
      </c>
      <c r="S159" s="225">
        <f>+H159/(Q159*365)</f>
        <v>0.93095890410958904</v>
      </c>
      <c r="T159" s="225"/>
      <c r="U159" s="78">
        <f t="shared" si="77"/>
        <v>2.989041095890411</v>
      </c>
      <c r="V159" s="78">
        <f t="shared" si="78"/>
        <v>9.5205479452054792E-2</v>
      </c>
      <c r="W159" s="36">
        <f t="shared" si="79"/>
        <v>30</v>
      </c>
      <c r="X159" s="36">
        <f t="shared" si="80"/>
        <v>5</v>
      </c>
      <c r="Y159" s="40">
        <f>IF(B159="Public", 'synthèse v2'!$F$62/1000, IF(B159="Privé non lucratif",'synthèse v2'!$F$61/1000, IF(B159="Privé", 'synthèse v2'!$F$60/1000, "")))</f>
        <v>36.984345997610518</v>
      </c>
      <c r="Z159" s="40">
        <f t="shared" si="76"/>
        <v>18.492172998805259</v>
      </c>
      <c r="AA159" s="40">
        <f t="shared" si="81"/>
        <v>2.989041095890411</v>
      </c>
      <c r="AB159" s="40">
        <f t="shared" si="82"/>
        <v>9.5205479452054792E-2</v>
      </c>
      <c r="AC159" s="34">
        <f t="shared" si="83"/>
        <v>110.54773009148788</v>
      </c>
      <c r="AD159" s="34">
        <f t="shared" si="84"/>
        <v>1.7605561964615966</v>
      </c>
      <c r="AE159" s="34">
        <f t="shared" si="85"/>
        <v>112.30828628794947</v>
      </c>
      <c r="AF159" s="36">
        <v>0</v>
      </c>
      <c r="AG159" s="36">
        <v>0</v>
      </c>
      <c r="AH159" s="39">
        <v>0</v>
      </c>
      <c r="AI159" s="39">
        <v>0</v>
      </c>
      <c r="AJ159" s="36">
        <f t="shared" si="86"/>
        <v>0</v>
      </c>
      <c r="AK159" s="36">
        <f t="shared" si="87"/>
        <v>0</v>
      </c>
      <c r="AL159" s="40"/>
      <c r="AM159" s="40"/>
      <c r="AN159" s="34">
        <f t="shared" si="88"/>
        <v>0</v>
      </c>
      <c r="AO159" s="34">
        <f t="shared" si="89"/>
        <v>0</v>
      </c>
      <c r="AP159" s="34">
        <f t="shared" si="90"/>
        <v>0</v>
      </c>
      <c r="AR159" s="34">
        <f t="shared" si="91"/>
        <v>112.30828628794947</v>
      </c>
      <c r="AS159" s="34"/>
      <c r="AT159" s="29">
        <f>+VLOOKUP(C159,dotpop24!$A$10:$K$178,11,0)</f>
        <v>2088946.94</v>
      </c>
      <c r="AU159" s="29">
        <f t="shared" si="92"/>
        <v>64275.290461538461</v>
      </c>
      <c r="AV159" s="29">
        <f t="shared" si="95"/>
        <v>32137.645230769231</v>
      </c>
      <c r="AW159" s="29">
        <f t="shared" si="93"/>
        <v>195181.16456248684</v>
      </c>
    </row>
    <row r="160" spans="1:49">
      <c r="A160" s="1" t="s">
        <v>22</v>
      </c>
      <c r="B160" s="1" t="s">
        <v>23</v>
      </c>
      <c r="C160" s="97">
        <v>810000455</v>
      </c>
      <c r="D160" s="1" t="s">
        <v>195</v>
      </c>
      <c r="E160" s="1" t="s">
        <v>25</v>
      </c>
      <c r="F160" s="44">
        <v>20793</v>
      </c>
      <c r="G160" s="44">
        <v>17469</v>
      </c>
      <c r="H160" s="44">
        <v>3324</v>
      </c>
      <c r="I160" s="45">
        <v>0.40699999999999997</v>
      </c>
      <c r="J160" s="45">
        <v>75.89</v>
      </c>
      <c r="K160" s="45">
        <v>9.67</v>
      </c>
      <c r="L160" s="45">
        <v>2.85</v>
      </c>
      <c r="M160" s="45">
        <v>1.66</v>
      </c>
      <c r="N160" s="35">
        <v>81</v>
      </c>
      <c r="O160" s="35" t="s">
        <v>26</v>
      </c>
      <c r="P160" s="35">
        <v>60</v>
      </c>
      <c r="Q160" s="35">
        <v>5</v>
      </c>
      <c r="R160" s="225">
        <f t="shared" si="94"/>
        <v>0.79767123287671238</v>
      </c>
      <c r="S160" s="225">
        <f>+H160/(Q160*365)</f>
        <v>1.8213698630136985</v>
      </c>
      <c r="T160" s="225"/>
      <c r="U160" s="78">
        <f t="shared" si="77"/>
        <v>6.13972602739726</v>
      </c>
      <c r="V160" s="78">
        <f t="shared" si="78"/>
        <v>0</v>
      </c>
      <c r="W160" s="36">
        <f t="shared" si="79"/>
        <v>60</v>
      </c>
      <c r="X160" s="36">
        <f t="shared" si="80"/>
        <v>5</v>
      </c>
      <c r="Y160" s="40">
        <f>IF(B160="Public", 'synthèse v2'!$F$62/1000, IF(B160="Privé non lucratif",'synthèse v2'!$F$61/1000, IF(B160="Privé", 'synthèse v2'!$F$60/1000, "")))</f>
        <v>43.762959354365371</v>
      </c>
      <c r="Z160" s="40">
        <f t="shared" si="76"/>
        <v>21.881479677182686</v>
      </c>
      <c r="AA160" s="40">
        <f t="shared" si="81"/>
        <v>6.13972602739726</v>
      </c>
      <c r="AB160" s="40">
        <f t="shared" si="82"/>
        <v>0</v>
      </c>
      <c r="AC160" s="34">
        <f t="shared" si="83"/>
        <v>268.69258058392546</v>
      </c>
      <c r="AD160" s="34">
        <f t="shared" si="84"/>
        <v>0</v>
      </c>
      <c r="AE160" s="34">
        <f t="shared" si="85"/>
        <v>268.69258058392546</v>
      </c>
      <c r="AF160" s="36">
        <v>0</v>
      </c>
      <c r="AG160" s="36">
        <v>0</v>
      </c>
      <c r="AH160" s="39">
        <v>0</v>
      </c>
      <c r="AI160" s="39">
        <v>0</v>
      </c>
      <c r="AJ160" s="36">
        <f t="shared" si="86"/>
        <v>0</v>
      </c>
      <c r="AK160" s="36">
        <f t="shared" si="87"/>
        <v>0</v>
      </c>
      <c r="AL160" s="40"/>
      <c r="AM160" s="40"/>
      <c r="AN160" s="34">
        <f t="shared" si="88"/>
        <v>0</v>
      </c>
      <c r="AO160" s="34">
        <f t="shared" si="89"/>
        <v>0</v>
      </c>
      <c r="AP160" s="34">
        <f t="shared" si="90"/>
        <v>0</v>
      </c>
      <c r="AR160" s="34">
        <f t="shared" si="91"/>
        <v>268.69258058392546</v>
      </c>
      <c r="AS160" s="34"/>
      <c r="AT160" s="29">
        <f>+VLOOKUP(C160,dotpop24!$A$10:$K$178,11,0)</f>
        <v>2783102.7</v>
      </c>
      <c r="AU160" s="29">
        <f t="shared" si="92"/>
        <v>44529.643200000006</v>
      </c>
      <c r="AV160" s="29">
        <f t="shared" si="95"/>
        <v>22264.821600000003</v>
      </c>
      <c r="AW160" s="29">
        <f t="shared" si="93"/>
        <v>273399.80934575346</v>
      </c>
    </row>
    <row r="161" spans="1:49">
      <c r="A161" s="1" t="s">
        <v>33</v>
      </c>
      <c r="B161" s="1" t="s">
        <v>34</v>
      </c>
      <c r="C161" s="97">
        <v>810002022</v>
      </c>
      <c r="D161" s="79" t="s">
        <v>1526</v>
      </c>
      <c r="E161" s="1" t="s">
        <v>25</v>
      </c>
      <c r="F161" s="44">
        <v>2233</v>
      </c>
      <c r="G161" s="44">
        <v>0</v>
      </c>
      <c r="H161" s="44">
        <v>2233</v>
      </c>
      <c r="I161" s="45">
        <v>0.70499999999999996</v>
      </c>
      <c r="J161" s="45">
        <v>55.59</v>
      </c>
      <c r="K161" s="45">
        <v>4.07</v>
      </c>
      <c r="L161" s="45">
        <v>4.18</v>
      </c>
      <c r="M161" s="45">
        <v>3.42</v>
      </c>
      <c r="N161" s="35">
        <v>81</v>
      </c>
      <c r="O161" s="35" t="s">
        <v>26</v>
      </c>
      <c r="P161" s="35"/>
      <c r="Q161" s="217">
        <v>10</v>
      </c>
      <c r="R161" s="225"/>
      <c r="S161" s="225">
        <f>+H161/(Q161*365)</f>
        <v>0.61178082191780825</v>
      </c>
      <c r="T161" s="226" t="s">
        <v>661</v>
      </c>
      <c r="U161" s="78">
        <f t="shared" si="77"/>
        <v>0</v>
      </c>
      <c r="V161" s="78">
        <f t="shared" si="78"/>
        <v>3.382191780821918</v>
      </c>
      <c r="W161" s="36">
        <f t="shared" si="79"/>
        <v>0</v>
      </c>
      <c r="X161" s="36">
        <f t="shared" si="80"/>
        <v>10</v>
      </c>
      <c r="Y161" s="40">
        <f>IF(B161="Public", 'synthèse v2'!$F$62/1000, IF(B161="Privé non lucratif",'synthèse v2'!$F$61/1000, IF(B161="Privé", 'synthèse v2'!$F$60/1000, "")))</f>
        <v>36.984345997610518</v>
      </c>
      <c r="Z161" s="40">
        <f t="shared" si="76"/>
        <v>18.492172998805259</v>
      </c>
      <c r="AA161" s="40">
        <f t="shared" si="81"/>
        <v>0</v>
      </c>
      <c r="AB161" s="40">
        <f t="shared" si="82"/>
        <v>3.382191780821918</v>
      </c>
      <c r="AC161" s="34">
        <f t="shared" si="83"/>
        <v>0</v>
      </c>
      <c r="AD161" s="34">
        <f t="shared" si="84"/>
        <v>62.544075526096144</v>
      </c>
      <c r="AE161" s="34">
        <f t="shared" si="85"/>
        <v>62.544075526096144</v>
      </c>
      <c r="AF161" s="36">
        <v>0</v>
      </c>
      <c r="AG161" s="36">
        <v>0</v>
      </c>
      <c r="AH161" s="39">
        <v>0</v>
      </c>
      <c r="AI161" s="39">
        <v>0</v>
      </c>
      <c r="AJ161" s="36">
        <f t="shared" si="86"/>
        <v>0</v>
      </c>
      <c r="AK161" s="36">
        <f t="shared" si="87"/>
        <v>0</v>
      </c>
      <c r="AL161" s="40"/>
      <c r="AM161" s="40"/>
      <c r="AN161" s="34">
        <f t="shared" si="88"/>
        <v>0</v>
      </c>
      <c r="AO161" s="34">
        <f t="shared" si="89"/>
        <v>0</v>
      </c>
      <c r="AP161" s="34">
        <f t="shared" si="90"/>
        <v>0</v>
      </c>
      <c r="AR161" s="34">
        <f t="shared" si="91"/>
        <v>62.544075526096144</v>
      </c>
      <c r="AS161" s="34"/>
      <c r="AT161" s="29">
        <f>+VLOOKUP(C161,dotpop24!$A$10:$K$178,11,0)</f>
        <v>215669</v>
      </c>
      <c r="AU161" s="29">
        <f t="shared" si="92"/>
        <v>43133.8</v>
      </c>
      <c r="AV161" s="29">
        <f t="shared" si="95"/>
        <v>21566.9</v>
      </c>
      <c r="AW161" s="29">
        <f t="shared" si="93"/>
        <v>72943.391917808229</v>
      </c>
    </row>
    <row r="162" spans="1:49">
      <c r="A162" s="1" t="s">
        <v>33</v>
      </c>
      <c r="B162" s="1" t="s">
        <v>34</v>
      </c>
      <c r="C162" s="97">
        <v>810003954</v>
      </c>
      <c r="D162" s="1" t="s">
        <v>197</v>
      </c>
      <c r="E162" s="1" t="s">
        <v>25</v>
      </c>
      <c r="F162" s="44">
        <v>23313</v>
      </c>
      <c r="G162" s="44">
        <v>23313</v>
      </c>
      <c r="H162" s="44">
        <v>0</v>
      </c>
      <c r="I162" s="45">
        <v>0.377</v>
      </c>
      <c r="J162" s="45">
        <v>83.49</v>
      </c>
      <c r="K162" s="45">
        <v>12.19</v>
      </c>
      <c r="L162" s="45">
        <v>4.54</v>
      </c>
      <c r="M162" s="45">
        <v>2.69</v>
      </c>
      <c r="N162" s="35">
        <v>81</v>
      </c>
      <c r="O162" s="35" t="s">
        <v>26</v>
      </c>
      <c r="P162" s="35">
        <v>72</v>
      </c>
      <c r="Q162" s="35">
        <v>0</v>
      </c>
      <c r="R162" s="225">
        <f t="shared" si="94"/>
        <v>0.88710045662100456</v>
      </c>
      <c r="S162" s="225"/>
      <c r="T162" s="225"/>
      <c r="U162" s="78">
        <f t="shared" si="77"/>
        <v>0.92876712328767119</v>
      </c>
      <c r="V162" s="78">
        <f t="shared" si="78"/>
        <v>0</v>
      </c>
      <c r="W162" s="36">
        <f t="shared" si="79"/>
        <v>72</v>
      </c>
      <c r="X162" s="36">
        <f t="shared" si="80"/>
        <v>0</v>
      </c>
      <c r="Y162" s="40">
        <f>IF(B162="Public", 'synthèse v2'!$F$62/1000, IF(B162="Privé non lucratif",'synthèse v2'!$F$61/1000, IF(B162="Privé", 'synthèse v2'!$F$60/1000, "")))</f>
        <v>36.984345997610518</v>
      </c>
      <c r="Z162" s="40">
        <f t="shared" si="76"/>
        <v>18.492172998805259</v>
      </c>
      <c r="AA162" s="40">
        <f t="shared" si="81"/>
        <v>0.92876712328767119</v>
      </c>
      <c r="AB162" s="40">
        <f t="shared" si="82"/>
        <v>0</v>
      </c>
      <c r="AC162" s="34">
        <f t="shared" si="83"/>
        <v>34.349844638876618</v>
      </c>
      <c r="AD162" s="34">
        <f t="shared" si="84"/>
        <v>0</v>
      </c>
      <c r="AE162" s="34">
        <f t="shared" si="85"/>
        <v>34.349844638876618</v>
      </c>
      <c r="AF162" s="36">
        <v>0</v>
      </c>
      <c r="AG162" s="36">
        <v>0</v>
      </c>
      <c r="AH162" s="39">
        <v>0</v>
      </c>
      <c r="AI162" s="39">
        <v>0</v>
      </c>
      <c r="AJ162" s="36">
        <f t="shared" si="86"/>
        <v>0</v>
      </c>
      <c r="AK162" s="36">
        <f t="shared" si="87"/>
        <v>0</v>
      </c>
      <c r="AL162" s="40"/>
      <c r="AM162" s="40"/>
      <c r="AN162" s="34">
        <f t="shared" si="88"/>
        <v>0</v>
      </c>
      <c r="AO162" s="34">
        <f t="shared" si="89"/>
        <v>0</v>
      </c>
      <c r="AP162" s="34">
        <f t="shared" si="90"/>
        <v>0</v>
      </c>
      <c r="AR162" s="34">
        <f t="shared" si="91"/>
        <v>34.349844638876618</v>
      </c>
      <c r="AS162" s="34"/>
      <c r="AT162" s="29">
        <f>+VLOOKUP(C162,dotpop24!$A$10:$K$178,11,0)</f>
        <v>2785307.59</v>
      </c>
      <c r="AU162" s="29">
        <f t="shared" si="92"/>
        <v>38684.827638888884</v>
      </c>
      <c r="AV162" s="29">
        <f t="shared" si="95"/>
        <v>19342.413819444442</v>
      </c>
      <c r="AW162" s="29">
        <f t="shared" si="93"/>
        <v>35929.196081050221</v>
      </c>
    </row>
    <row r="163" spans="1:49">
      <c r="A163" s="1" t="s">
        <v>30</v>
      </c>
      <c r="B163" s="1" t="s">
        <v>30</v>
      </c>
      <c r="C163" s="97">
        <v>810004200</v>
      </c>
      <c r="D163" s="1" t="s">
        <v>198</v>
      </c>
      <c r="E163" s="1" t="s">
        <v>25</v>
      </c>
      <c r="F163" s="44">
        <v>24537</v>
      </c>
      <c r="G163" s="44">
        <v>24537</v>
      </c>
      <c r="H163" s="44">
        <v>0</v>
      </c>
      <c r="I163" s="45">
        <v>0.371</v>
      </c>
      <c r="J163" s="45">
        <v>76.959999999999994</v>
      </c>
      <c r="K163" s="45">
        <v>8.41</v>
      </c>
      <c r="L163" s="45">
        <v>3.7</v>
      </c>
      <c r="M163" s="45">
        <v>2.23</v>
      </c>
      <c r="N163" s="35">
        <v>81</v>
      </c>
      <c r="O163" s="35" t="s">
        <v>26</v>
      </c>
      <c r="P163" s="35">
        <v>108</v>
      </c>
      <c r="Q163" s="35">
        <v>0</v>
      </c>
      <c r="R163" s="225">
        <f t="shared" si="94"/>
        <v>0.62245053272450535</v>
      </c>
      <c r="S163" s="225"/>
      <c r="T163" s="225"/>
      <c r="U163" s="78">
        <f t="shared" si="77"/>
        <v>29.975342465753425</v>
      </c>
      <c r="V163" s="78">
        <f t="shared" si="78"/>
        <v>0</v>
      </c>
      <c r="W163" s="36">
        <f t="shared" si="79"/>
        <v>108</v>
      </c>
      <c r="X163" s="36">
        <f t="shared" si="80"/>
        <v>0</v>
      </c>
      <c r="Y163" s="40">
        <f>IF(B163="Public", 'synthèse v2'!$F$62/1000, IF(B163="Privé non lucratif",'synthèse v2'!$F$61/1000, IF(B163="Privé", 'synthèse v2'!$F$60/1000, "")))</f>
        <v>26.522545062955601</v>
      </c>
      <c r="Z163" s="40">
        <f t="shared" si="76"/>
        <v>13.2612725314778</v>
      </c>
      <c r="AA163" s="40">
        <f t="shared" si="81"/>
        <v>29.975342465753425</v>
      </c>
      <c r="AB163" s="40">
        <f t="shared" si="82"/>
        <v>0</v>
      </c>
      <c r="AC163" s="34">
        <f t="shared" si="83"/>
        <v>795.02237132547191</v>
      </c>
      <c r="AD163" s="34">
        <f t="shared" si="84"/>
        <v>0</v>
      </c>
      <c r="AE163" s="34">
        <f t="shared" si="85"/>
        <v>795.02237132547191</v>
      </c>
      <c r="AF163" s="36">
        <v>0</v>
      </c>
      <c r="AG163" s="36">
        <v>0</v>
      </c>
      <c r="AH163" s="39">
        <v>0</v>
      </c>
      <c r="AI163" s="39">
        <v>0</v>
      </c>
      <c r="AJ163" s="36">
        <f t="shared" si="86"/>
        <v>0</v>
      </c>
      <c r="AK163" s="36">
        <f t="shared" si="87"/>
        <v>0</v>
      </c>
      <c r="AL163" s="40"/>
      <c r="AM163" s="40"/>
      <c r="AN163" s="34">
        <f t="shared" si="88"/>
        <v>0</v>
      </c>
      <c r="AO163" s="34">
        <f t="shared" si="89"/>
        <v>0</v>
      </c>
      <c r="AP163" s="34">
        <f t="shared" si="90"/>
        <v>0</v>
      </c>
      <c r="AR163" s="34">
        <f t="shared" si="91"/>
        <v>795.02237132547191</v>
      </c>
      <c r="AS163" s="34"/>
      <c r="AT163" s="29">
        <f>+VLOOKUP(C163,dotpop24!$A$10:$K$178,11,0)</f>
        <v>2155540</v>
      </c>
      <c r="AU163" s="29">
        <f t="shared" si="92"/>
        <v>19958.703703703704</v>
      </c>
      <c r="AV163" s="29">
        <f t="shared" si="95"/>
        <v>9979.3518518518522</v>
      </c>
      <c r="AW163" s="29">
        <f t="shared" si="93"/>
        <v>598268.97869101982</v>
      </c>
    </row>
    <row r="164" spans="1:49">
      <c r="A164" s="1" t="s">
        <v>30</v>
      </c>
      <c r="B164" s="1" t="s">
        <v>30</v>
      </c>
      <c r="C164" s="97">
        <v>810101170</v>
      </c>
      <c r="D164" s="1" t="s">
        <v>199</v>
      </c>
      <c r="E164" s="1" t="s">
        <v>25</v>
      </c>
      <c r="F164" s="44">
        <v>33544</v>
      </c>
      <c r="G164" s="44">
        <v>26845</v>
      </c>
      <c r="H164" s="44">
        <v>6699</v>
      </c>
      <c r="I164" s="45">
        <v>0.36199999999999999</v>
      </c>
      <c r="J164" s="45">
        <v>77.819999999999993</v>
      </c>
      <c r="K164" s="45">
        <v>8.49</v>
      </c>
      <c r="L164" s="45">
        <v>2.89</v>
      </c>
      <c r="M164" s="45">
        <v>4.21</v>
      </c>
      <c r="N164" s="35">
        <v>81</v>
      </c>
      <c r="O164" s="35" t="s">
        <v>26</v>
      </c>
      <c r="P164" s="35">
        <v>84</v>
      </c>
      <c r="Q164" s="35">
        <v>31</v>
      </c>
      <c r="R164" s="225">
        <f t="shared" si="94"/>
        <v>0.87557077625570778</v>
      </c>
      <c r="S164" s="225">
        <f>+H164/(Q164*365)</f>
        <v>0.5920459566946531</v>
      </c>
      <c r="T164" s="225"/>
      <c r="U164" s="78">
        <f t="shared" si="77"/>
        <v>2.0520547945205481</v>
      </c>
      <c r="V164" s="78">
        <f t="shared" si="78"/>
        <v>11.096575342465753</v>
      </c>
      <c r="W164" s="36">
        <f t="shared" si="79"/>
        <v>84</v>
      </c>
      <c r="X164" s="36">
        <f t="shared" si="80"/>
        <v>31</v>
      </c>
      <c r="Y164" s="40">
        <f>IF(B164="Public", 'synthèse v2'!$F$62/1000, IF(B164="Privé non lucratif",'synthèse v2'!$F$61/1000, IF(B164="Privé", 'synthèse v2'!$F$60/1000, "")))</f>
        <v>26.522545062955601</v>
      </c>
      <c r="Z164" s="40">
        <f t="shared" si="76"/>
        <v>13.2612725314778</v>
      </c>
      <c r="AA164" s="40">
        <f t="shared" si="81"/>
        <v>2.0520547945205481</v>
      </c>
      <c r="AB164" s="40">
        <f t="shared" si="82"/>
        <v>11.096575342465753</v>
      </c>
      <c r="AC164" s="34">
        <f t="shared" si="83"/>
        <v>54.425715759325335</v>
      </c>
      <c r="AD164" s="34">
        <f t="shared" si="84"/>
        <v>147.15470978251497</v>
      </c>
      <c r="AE164" s="34">
        <f t="shared" si="85"/>
        <v>201.5804255418403</v>
      </c>
      <c r="AF164" s="36">
        <v>0</v>
      </c>
      <c r="AG164" s="36">
        <v>0</v>
      </c>
      <c r="AH164" s="39">
        <v>0</v>
      </c>
      <c r="AI164" s="39">
        <v>0</v>
      </c>
      <c r="AJ164" s="36">
        <f t="shared" si="86"/>
        <v>0</v>
      </c>
      <c r="AK164" s="36">
        <f t="shared" si="87"/>
        <v>0</v>
      </c>
      <c r="AL164" s="40"/>
      <c r="AM164" s="40"/>
      <c r="AN164" s="34">
        <f t="shared" si="88"/>
        <v>0</v>
      </c>
      <c r="AO164" s="34">
        <f t="shared" si="89"/>
        <v>0</v>
      </c>
      <c r="AP164" s="34">
        <f t="shared" si="90"/>
        <v>0</v>
      </c>
      <c r="AR164" s="34">
        <f t="shared" si="91"/>
        <v>201.5804255418403</v>
      </c>
      <c r="AS164" s="34"/>
      <c r="AT164" s="29">
        <f>+VLOOKUP(C164,dotpop24!$A$10:$K$178,11,0)</f>
        <v>2456866.59</v>
      </c>
      <c r="AU164" s="29">
        <f t="shared" si="92"/>
        <v>24692.126532663315</v>
      </c>
      <c r="AV164" s="29">
        <f t="shared" si="95"/>
        <v>12346.063266331657</v>
      </c>
      <c r="AW164" s="29">
        <f t="shared" si="93"/>
        <v>187668.61785595785</v>
      </c>
    </row>
    <row r="165" spans="1:49">
      <c r="A165" s="1" t="s">
        <v>22</v>
      </c>
      <c r="B165" s="1" t="s">
        <v>23</v>
      </c>
      <c r="C165" s="97">
        <v>820000016</v>
      </c>
      <c r="D165" s="1" t="s">
        <v>200</v>
      </c>
      <c r="E165" s="1" t="s">
        <v>25</v>
      </c>
      <c r="F165" s="44">
        <v>18407</v>
      </c>
      <c r="G165" s="44">
        <v>13462</v>
      </c>
      <c r="H165" s="44">
        <v>4945</v>
      </c>
      <c r="I165" s="45">
        <v>0.49</v>
      </c>
      <c r="J165" s="45">
        <v>67.02</v>
      </c>
      <c r="K165" s="45">
        <v>7.78</v>
      </c>
      <c r="L165" s="45">
        <v>2.36</v>
      </c>
      <c r="M165" s="45">
        <v>1.87</v>
      </c>
      <c r="N165" s="35">
        <v>82</v>
      </c>
      <c r="O165" s="35" t="s">
        <v>26</v>
      </c>
      <c r="P165" s="35">
        <v>50</v>
      </c>
      <c r="Q165" s="35">
        <v>15</v>
      </c>
      <c r="R165" s="225">
        <f t="shared" si="94"/>
        <v>0.73764383561643831</v>
      </c>
      <c r="S165" s="225">
        <f>+H165/(Q165*365)</f>
        <v>0.9031963470319635</v>
      </c>
      <c r="T165" s="225"/>
      <c r="U165" s="78">
        <f t="shared" ref="U165:U173" si="97">AJ165+AA165</f>
        <v>8.117808219178082</v>
      </c>
      <c r="V165" s="78">
        <f t="shared" ref="V165:V173" si="98">AK165+AB165</f>
        <v>0.70205479452054798</v>
      </c>
      <c r="W165" s="36">
        <f t="shared" ref="W165:W173" si="99">IFERROR(
   IF(P165 - AF165 &gt; 0,
      P165 - AF165,
      0
   ),
   0
)</f>
        <v>50</v>
      </c>
      <c r="X165" s="36">
        <f t="shared" ref="X165:X173" si="100">IFERROR(
   IF(Q165 - AG165 &gt; 0,
      Q165 - AG165,
      0
   ),
   0
)</f>
        <v>15</v>
      </c>
      <c r="Y165" s="40">
        <f>IF(B165="Public", 'synthèse v2'!$F$62/1000, IF(B165="Privé non lucratif",'synthèse v2'!$F$61/1000, IF(B165="Privé", 'synthèse v2'!$F$60/1000, "")))</f>
        <v>43.762959354365371</v>
      </c>
      <c r="Z165" s="40">
        <f t="shared" si="76"/>
        <v>21.881479677182686</v>
      </c>
      <c r="AA165" s="40">
        <f t="shared" ref="AA165:AA173" si="101">IFERROR(
  IF(
    (((W165*365*$AA$2) - (W165*365*R165)) / 365) &gt; 0,
    ((W165*365*$AA$2) - (W165*365*R165)) / 365,
    0
  ),
  0
)</f>
        <v>8.117808219178082</v>
      </c>
      <c r="AB165" s="40">
        <f t="shared" ref="AB165:AB173" si="102">IFERROR(
  IF(
    (((X165*365*$AB$2) - (X165*365*S165)) / 365) &gt; 0,
    ((X165*365*$AB$2) - (X165*365*S165)) / 365,
    0
  ),
  0
)</f>
        <v>0.70205479452054798</v>
      </c>
      <c r="AC165" s="34">
        <f t="shared" ref="AC165:AC173" si="103">AA165*Y165</f>
        <v>355.25931114242354</v>
      </c>
      <c r="AD165" s="34">
        <f t="shared" ref="AD165:AD173" si="104">AB165*Z165</f>
        <v>15.361997718570036</v>
      </c>
      <c r="AE165" s="34">
        <f t="shared" ref="AE165:AE196" si="105">AC165+AD165</f>
        <v>370.62130886099357</v>
      </c>
      <c r="AF165" s="36">
        <v>0</v>
      </c>
      <c r="AG165" s="36">
        <v>0</v>
      </c>
      <c r="AH165" s="39">
        <v>0</v>
      </c>
      <c r="AI165" s="39">
        <v>0</v>
      </c>
      <c r="AJ165" s="36">
        <f t="shared" ref="AJ165:AJ173" si="106">IF((((AF165*365*$AJ$2) - (AF165*365*AH165)) / 365) &gt; 0,
    ((AF165*365*$AJ$2) - (AF165*365*AH165)) / 365,
    0)</f>
        <v>0</v>
      </c>
      <c r="AK165" s="36">
        <f t="shared" ref="AK165:AK173" si="107">IF(
  (((AG165*365*$AK$2) - (AG165*365*AI165)) / 365) &gt; 0,
  ((AG165*365*$AK$2) - (AG165*365*AI165)) / 365,
  0
)</f>
        <v>0</v>
      </c>
      <c r="AL165" s="40"/>
      <c r="AM165" s="40"/>
      <c r="AN165" s="34">
        <f t="shared" ref="AN165:AN173" si="108">AJ165*AL165</f>
        <v>0</v>
      </c>
      <c r="AO165" s="34">
        <f t="shared" ref="AO165:AO173" si="109">AK165*AM165</f>
        <v>0</v>
      </c>
      <c r="AP165" s="34">
        <f t="shared" ref="AP165:AP196" si="110">AN165 + AO165</f>
        <v>0</v>
      </c>
      <c r="AR165" s="34">
        <f t="shared" ref="AR165:AR173" si="111">AP165+AE165</f>
        <v>370.62130886099357</v>
      </c>
      <c r="AS165" s="34"/>
      <c r="AT165" s="29">
        <f>+VLOOKUP(C165,dotpop24!$A$10:$K$178,11,0)</f>
        <v>2454756.4700000002</v>
      </c>
      <c r="AU165" s="29">
        <f t="shared" ref="AU165:AU196" si="112">+AT165/(P165+Q165*0.5)</f>
        <v>42691.416869565219</v>
      </c>
      <c r="AV165" s="29">
        <f t="shared" si="95"/>
        <v>21345.708434782609</v>
      </c>
      <c r="AW165" s="29">
        <f t="shared" ref="AW165:AW196" si="113">+(AA165*AU165)+(AB165*AV165)</f>
        <v>361546.59170119115</v>
      </c>
    </row>
    <row r="166" spans="1:49">
      <c r="A166" s="1" t="s">
        <v>30</v>
      </c>
      <c r="B166" s="1" t="s">
        <v>30</v>
      </c>
      <c r="C166" s="97">
        <v>820000057</v>
      </c>
      <c r="D166" s="79" t="s">
        <v>1536</v>
      </c>
      <c r="E166" s="1" t="s">
        <v>25</v>
      </c>
      <c r="F166" s="44">
        <v>492</v>
      </c>
      <c r="G166" s="44">
        <v>0</v>
      </c>
      <c r="H166" s="44">
        <v>492</v>
      </c>
      <c r="I166" s="45">
        <v>0.33300000000000002</v>
      </c>
      <c r="J166" s="45">
        <v>65.5</v>
      </c>
      <c r="K166" s="45">
        <v>4</v>
      </c>
      <c r="L166" s="45">
        <v>2</v>
      </c>
      <c r="M166" s="45">
        <v>1.82</v>
      </c>
      <c r="N166" s="35">
        <v>82</v>
      </c>
      <c r="O166" s="35" t="s">
        <v>26</v>
      </c>
      <c r="P166" s="35"/>
      <c r="Q166" s="217">
        <v>5</v>
      </c>
      <c r="R166" s="225"/>
      <c r="S166" s="225">
        <f>+H166/(Q166*365)</f>
        <v>0.26958904109589044</v>
      </c>
      <c r="T166" s="226" t="s">
        <v>661</v>
      </c>
      <c r="U166" s="78">
        <f t="shared" si="97"/>
        <v>0</v>
      </c>
      <c r="V166" s="78">
        <f t="shared" si="98"/>
        <v>3.4020547945205482</v>
      </c>
      <c r="W166" s="36">
        <f t="shared" si="99"/>
        <v>0</v>
      </c>
      <c r="X166" s="36">
        <f t="shared" si="100"/>
        <v>5</v>
      </c>
      <c r="Y166" s="40">
        <f>IF(B166="Public", 'synthèse v2'!$F$62/1000, IF(B166="Privé non lucratif",'synthèse v2'!$F$61/1000, IF(B166="Privé", 'synthèse v2'!$F$60/1000, "")))</f>
        <v>26.522545062955601</v>
      </c>
      <c r="Z166" s="40">
        <f t="shared" si="76"/>
        <v>13.2612725314778</v>
      </c>
      <c r="AA166" s="40">
        <f t="shared" si="101"/>
        <v>0</v>
      </c>
      <c r="AB166" s="40">
        <f t="shared" si="102"/>
        <v>3.4020547945205482</v>
      </c>
      <c r="AC166" s="34">
        <f t="shared" si="103"/>
        <v>0</v>
      </c>
      <c r="AD166" s="34">
        <f t="shared" si="104"/>
        <v>45.115575797157696</v>
      </c>
      <c r="AE166" s="34">
        <f t="shared" si="105"/>
        <v>45.115575797157696</v>
      </c>
      <c r="AF166" s="36">
        <v>0</v>
      </c>
      <c r="AG166" s="36">
        <v>0</v>
      </c>
      <c r="AH166" s="39">
        <v>0</v>
      </c>
      <c r="AI166" s="39">
        <v>0</v>
      </c>
      <c r="AJ166" s="36">
        <f t="shared" si="106"/>
        <v>0</v>
      </c>
      <c r="AK166" s="36">
        <f t="shared" si="107"/>
        <v>0</v>
      </c>
      <c r="AL166" s="40"/>
      <c r="AM166" s="40"/>
      <c r="AN166" s="34">
        <f t="shared" si="108"/>
        <v>0</v>
      </c>
      <c r="AO166" s="34">
        <f t="shared" si="109"/>
        <v>0</v>
      </c>
      <c r="AP166" s="34">
        <f t="shared" si="110"/>
        <v>0</v>
      </c>
      <c r="AR166" s="34">
        <f t="shared" si="111"/>
        <v>45.115575797157696</v>
      </c>
      <c r="AS166" s="34"/>
      <c r="AT166" s="29">
        <f>+VLOOKUP(C166,dotpop24!$A$10:$K$178,11,0)</f>
        <v>51095</v>
      </c>
      <c r="AU166" s="29">
        <f t="shared" si="112"/>
        <v>20438</v>
      </c>
      <c r="AV166" s="29">
        <f t="shared" si="95"/>
        <v>10219</v>
      </c>
      <c r="AW166" s="29">
        <f t="shared" si="113"/>
        <v>34765.597945205482</v>
      </c>
    </row>
    <row r="167" spans="1:49">
      <c r="A167" s="1" t="s">
        <v>22</v>
      </c>
      <c r="B167" s="1" t="s">
        <v>23</v>
      </c>
      <c r="C167" s="97">
        <v>820000206</v>
      </c>
      <c r="D167" s="1" t="s">
        <v>202</v>
      </c>
      <c r="E167" s="1" t="s">
        <v>25</v>
      </c>
      <c r="F167" s="44">
        <v>10668</v>
      </c>
      <c r="G167" s="44">
        <v>10668</v>
      </c>
      <c r="H167" s="44">
        <v>0</v>
      </c>
      <c r="I167" s="45">
        <v>0.57099999999999995</v>
      </c>
      <c r="J167" s="45">
        <v>73.510000000000005</v>
      </c>
      <c r="K167" s="45">
        <v>12.57</v>
      </c>
      <c r="L167" s="45">
        <v>4.8899999999999997</v>
      </c>
      <c r="M167" s="45">
        <v>0.61</v>
      </c>
      <c r="N167" s="35">
        <v>82</v>
      </c>
      <c r="O167" s="35" t="s">
        <v>26</v>
      </c>
      <c r="P167" s="35">
        <v>33</v>
      </c>
      <c r="Q167" s="35">
        <v>0</v>
      </c>
      <c r="R167" s="225">
        <f t="shared" si="94"/>
        <v>0.88567870485678701</v>
      </c>
      <c r="S167" s="225"/>
      <c r="T167" s="225"/>
      <c r="U167" s="78">
        <f t="shared" si="97"/>
        <v>0.4726027397260274</v>
      </c>
      <c r="V167" s="78">
        <f t="shared" si="98"/>
        <v>0</v>
      </c>
      <c r="W167" s="36">
        <f t="shared" si="99"/>
        <v>33</v>
      </c>
      <c r="X167" s="36">
        <f t="shared" si="100"/>
        <v>0</v>
      </c>
      <c r="Y167" s="40">
        <f>IF(B167="Public", 'synthèse v2'!$F$62/1000, IF(B167="Privé non lucratif",'synthèse v2'!$F$61/1000, IF(B167="Privé", 'synthèse v2'!$F$60/1000, "")))</f>
        <v>43.762959354365371</v>
      </c>
      <c r="Z167" s="40">
        <f t="shared" si="76"/>
        <v>21.881479677182686</v>
      </c>
      <c r="AA167" s="40">
        <f t="shared" si="101"/>
        <v>0.4726027397260274</v>
      </c>
      <c r="AB167" s="40">
        <f t="shared" si="102"/>
        <v>0</v>
      </c>
      <c r="AC167" s="34">
        <f t="shared" si="103"/>
        <v>20.682494489391853</v>
      </c>
      <c r="AD167" s="34">
        <f t="shared" si="104"/>
        <v>0</v>
      </c>
      <c r="AE167" s="34">
        <f t="shared" si="105"/>
        <v>20.682494489391853</v>
      </c>
      <c r="AF167" s="36">
        <v>0</v>
      </c>
      <c r="AG167" s="36">
        <v>0</v>
      </c>
      <c r="AH167" s="39">
        <v>0</v>
      </c>
      <c r="AI167" s="39">
        <v>0</v>
      </c>
      <c r="AJ167" s="36">
        <f t="shared" si="106"/>
        <v>0</v>
      </c>
      <c r="AK167" s="36">
        <f t="shared" si="107"/>
        <v>0</v>
      </c>
      <c r="AL167" s="40"/>
      <c r="AM167" s="40"/>
      <c r="AN167" s="34">
        <f t="shared" si="108"/>
        <v>0</v>
      </c>
      <c r="AO167" s="34">
        <f t="shared" si="109"/>
        <v>0</v>
      </c>
      <c r="AP167" s="34">
        <f t="shared" si="110"/>
        <v>0</v>
      </c>
      <c r="AR167" s="34">
        <f t="shared" si="111"/>
        <v>20.682494489391853</v>
      </c>
      <c r="AS167" s="34"/>
      <c r="AT167" s="29">
        <f>+VLOOKUP(C167,dotpop24!$A$10:$K$178,11,0)</f>
        <v>1244510.3</v>
      </c>
      <c r="AU167" s="29">
        <f t="shared" si="112"/>
        <v>37712.433333333334</v>
      </c>
      <c r="AV167" s="29">
        <f t="shared" si="95"/>
        <v>18856.216666666667</v>
      </c>
      <c r="AW167" s="29">
        <f t="shared" si="113"/>
        <v>17822.999315068493</v>
      </c>
    </row>
    <row r="168" spans="1:49">
      <c r="A168" s="1" t="s">
        <v>22</v>
      </c>
      <c r="B168" s="1" t="s">
        <v>23</v>
      </c>
      <c r="C168" s="97">
        <v>820000248</v>
      </c>
      <c r="D168" s="1" t="s">
        <v>203</v>
      </c>
      <c r="E168" s="1" t="s">
        <v>25</v>
      </c>
      <c r="F168" s="44">
        <v>10563</v>
      </c>
      <c r="G168" s="44">
        <v>10563</v>
      </c>
      <c r="H168" s="44">
        <v>0</v>
      </c>
      <c r="I168" s="45">
        <v>0.32</v>
      </c>
      <c r="J168" s="45">
        <v>81.63</v>
      </c>
      <c r="K168" s="45">
        <v>12.32</v>
      </c>
      <c r="L168" s="45">
        <v>3.8</v>
      </c>
      <c r="M168" s="45">
        <v>1.78</v>
      </c>
      <c r="N168" s="35">
        <v>82</v>
      </c>
      <c r="O168" s="35" t="s">
        <v>26</v>
      </c>
      <c r="P168" s="35">
        <v>30</v>
      </c>
      <c r="Q168" s="35">
        <v>0</v>
      </c>
      <c r="R168" s="225">
        <f t="shared" si="94"/>
        <v>0.9646575342465753</v>
      </c>
      <c r="S168" s="225"/>
      <c r="T168" s="225"/>
      <c r="U168" s="78">
        <f t="shared" si="97"/>
        <v>0</v>
      </c>
      <c r="V168" s="78">
        <f t="shared" si="98"/>
        <v>0</v>
      </c>
      <c r="W168" s="36">
        <f t="shared" si="99"/>
        <v>30</v>
      </c>
      <c r="X168" s="36">
        <f t="shared" si="100"/>
        <v>0</v>
      </c>
      <c r="Y168" s="40">
        <f>IF(B168="Public", 'synthèse v2'!$F$62/1000, IF(B168="Privé non lucratif",'synthèse v2'!$F$61/1000, IF(B168="Privé", 'synthèse v2'!$F$60/1000, "")))</f>
        <v>43.762959354365371</v>
      </c>
      <c r="Z168" s="40">
        <f t="shared" si="76"/>
        <v>21.881479677182686</v>
      </c>
      <c r="AA168" s="40">
        <f t="shared" si="101"/>
        <v>0</v>
      </c>
      <c r="AB168" s="40">
        <f t="shared" si="102"/>
        <v>0</v>
      </c>
      <c r="AC168" s="34">
        <f t="shared" si="103"/>
        <v>0</v>
      </c>
      <c r="AD168" s="34">
        <f t="shared" si="104"/>
        <v>0</v>
      </c>
      <c r="AE168" s="34">
        <f t="shared" si="105"/>
        <v>0</v>
      </c>
      <c r="AF168" s="36">
        <v>0</v>
      </c>
      <c r="AG168" s="36">
        <v>0</v>
      </c>
      <c r="AH168" s="39">
        <v>0</v>
      </c>
      <c r="AI168" s="39">
        <v>0</v>
      </c>
      <c r="AJ168" s="36">
        <f t="shared" si="106"/>
        <v>0</v>
      </c>
      <c r="AK168" s="36">
        <f t="shared" si="107"/>
        <v>0</v>
      </c>
      <c r="AL168" s="40"/>
      <c r="AM168" s="40"/>
      <c r="AN168" s="34">
        <f t="shared" si="108"/>
        <v>0</v>
      </c>
      <c r="AO168" s="34">
        <f t="shared" si="109"/>
        <v>0</v>
      </c>
      <c r="AP168" s="34">
        <f t="shared" si="110"/>
        <v>0</v>
      </c>
      <c r="AR168" s="34">
        <f t="shared" si="111"/>
        <v>0</v>
      </c>
      <c r="AS168" s="34"/>
      <c r="AT168" s="29">
        <f>+VLOOKUP(C168,dotpop24!$A$10:$K$178,11,0)</f>
        <v>1467887.24</v>
      </c>
      <c r="AU168" s="29">
        <f t="shared" si="112"/>
        <v>48929.574666666667</v>
      </c>
      <c r="AV168" s="29">
        <f t="shared" si="95"/>
        <v>24464.787333333334</v>
      </c>
      <c r="AW168" s="29">
        <f t="shared" si="113"/>
        <v>0</v>
      </c>
    </row>
    <row r="169" spans="1:49">
      <c r="A169" s="1" t="s">
        <v>30</v>
      </c>
      <c r="B169" s="1" t="s">
        <v>30</v>
      </c>
      <c r="C169" s="97">
        <v>820000412</v>
      </c>
      <c r="D169" s="1" t="s">
        <v>204</v>
      </c>
      <c r="E169" s="1" t="s">
        <v>25</v>
      </c>
      <c r="F169" s="44">
        <v>18639</v>
      </c>
      <c r="G169" s="44">
        <v>18639</v>
      </c>
      <c r="H169" s="44">
        <v>0</v>
      </c>
      <c r="I169" s="45">
        <v>0.73599999999999999</v>
      </c>
      <c r="J169" s="45">
        <v>45.36</v>
      </c>
      <c r="K169" s="45">
        <v>4.01</v>
      </c>
      <c r="L169" s="45">
        <v>7.32</v>
      </c>
      <c r="M169" s="45">
        <v>2.61</v>
      </c>
      <c r="N169" s="35">
        <v>82</v>
      </c>
      <c r="O169" s="35" t="s">
        <v>26</v>
      </c>
      <c r="P169" s="35">
        <v>60</v>
      </c>
      <c r="Q169" s="35">
        <v>0</v>
      </c>
      <c r="R169" s="225">
        <f t="shared" si="94"/>
        <v>0.8510958904109589</v>
      </c>
      <c r="S169" s="225"/>
      <c r="T169" s="225"/>
      <c r="U169" s="78">
        <f t="shared" si="97"/>
        <v>2.9342465753424656</v>
      </c>
      <c r="V169" s="78">
        <f t="shared" si="98"/>
        <v>0</v>
      </c>
      <c r="W169" s="36">
        <f t="shared" si="99"/>
        <v>60</v>
      </c>
      <c r="X169" s="36">
        <f t="shared" si="100"/>
        <v>0</v>
      </c>
      <c r="Y169" s="40">
        <f>IF(B169="Public", 'synthèse v2'!$F$62/1000, IF(B169="Privé non lucratif",'synthèse v2'!$F$61/1000, IF(B169="Privé", 'synthèse v2'!$F$60/1000, "")))</f>
        <v>26.522545062955601</v>
      </c>
      <c r="Z169" s="40">
        <f t="shared" si="76"/>
        <v>13.2612725314778</v>
      </c>
      <c r="AA169" s="40">
        <f t="shared" si="101"/>
        <v>2.9342465753424656</v>
      </c>
      <c r="AB169" s="40">
        <f t="shared" si="102"/>
        <v>0</v>
      </c>
      <c r="AC169" s="34">
        <f t="shared" si="103"/>
        <v>77.823687020343684</v>
      </c>
      <c r="AD169" s="34">
        <f t="shared" si="104"/>
        <v>0</v>
      </c>
      <c r="AE169" s="34">
        <f t="shared" si="105"/>
        <v>77.823687020343684</v>
      </c>
      <c r="AF169" s="36">
        <v>0</v>
      </c>
      <c r="AG169" s="36">
        <v>0</v>
      </c>
      <c r="AH169" s="39">
        <v>0</v>
      </c>
      <c r="AI169" s="39">
        <v>0</v>
      </c>
      <c r="AJ169" s="36">
        <f t="shared" si="106"/>
        <v>0</v>
      </c>
      <c r="AK169" s="36">
        <f t="shared" si="107"/>
        <v>0</v>
      </c>
      <c r="AL169" s="40"/>
      <c r="AM169" s="40"/>
      <c r="AN169" s="34">
        <f t="shared" si="108"/>
        <v>0</v>
      </c>
      <c r="AO169" s="34">
        <f t="shared" si="109"/>
        <v>0</v>
      </c>
      <c r="AP169" s="34">
        <f t="shared" si="110"/>
        <v>0</v>
      </c>
      <c r="AR169" s="34">
        <f t="shared" si="111"/>
        <v>77.823687020343684</v>
      </c>
      <c r="AS169" s="34"/>
      <c r="AT169" s="29">
        <f>+VLOOKUP(C169,dotpop24!$A$10:$K$178,11,0)</f>
        <v>959564.55</v>
      </c>
      <c r="AU169" s="29">
        <f t="shared" si="112"/>
        <v>15992.7425</v>
      </c>
      <c r="AV169" s="29">
        <f t="shared" si="95"/>
        <v>7996.3712500000001</v>
      </c>
      <c r="AW169" s="29">
        <f t="shared" si="113"/>
        <v>46926.649910958906</v>
      </c>
    </row>
    <row r="170" spans="1:49">
      <c r="A170" s="1" t="s">
        <v>30</v>
      </c>
      <c r="B170" s="1" t="s">
        <v>30</v>
      </c>
      <c r="C170" s="97">
        <v>820002350</v>
      </c>
      <c r="D170" s="1" t="s">
        <v>205</v>
      </c>
      <c r="E170" s="1" t="s">
        <v>25</v>
      </c>
      <c r="F170" s="44">
        <v>26851</v>
      </c>
      <c r="G170" s="44">
        <v>26851</v>
      </c>
      <c r="H170" s="44">
        <v>0</v>
      </c>
      <c r="I170" s="45">
        <v>0.72799999999999998</v>
      </c>
      <c r="J170" s="45">
        <v>63.94</v>
      </c>
      <c r="K170" s="45">
        <v>4.6500000000000004</v>
      </c>
      <c r="L170" s="45">
        <v>2.2200000000000002</v>
      </c>
      <c r="M170" s="45">
        <v>1.75</v>
      </c>
      <c r="N170" s="35">
        <v>82</v>
      </c>
      <c r="O170" s="35" t="s">
        <v>26</v>
      </c>
      <c r="P170" s="35">
        <v>92</v>
      </c>
      <c r="Q170" s="35">
        <v>0</v>
      </c>
      <c r="R170" s="225">
        <f t="shared" si="94"/>
        <v>0.79961286480047644</v>
      </c>
      <c r="S170" s="225"/>
      <c r="T170" s="225"/>
      <c r="U170" s="78">
        <f t="shared" si="97"/>
        <v>9.2356164383561641</v>
      </c>
      <c r="V170" s="78">
        <f t="shared" si="98"/>
        <v>0</v>
      </c>
      <c r="W170" s="36">
        <f t="shared" si="99"/>
        <v>92</v>
      </c>
      <c r="X170" s="36">
        <f t="shared" si="100"/>
        <v>0</v>
      </c>
      <c r="Y170" s="40">
        <f>IF(B170="Public", 'synthèse v2'!$F$62/1000, IF(B170="Privé non lucratif",'synthèse v2'!$F$61/1000, IF(B170="Privé", 'synthèse v2'!$F$60/1000, "")))</f>
        <v>26.522545062955601</v>
      </c>
      <c r="Z170" s="40">
        <f t="shared" si="76"/>
        <v>13.2612725314778</v>
      </c>
      <c r="AA170" s="40">
        <f t="shared" si="101"/>
        <v>9.2356164383561641</v>
      </c>
      <c r="AB170" s="40">
        <f t="shared" si="102"/>
        <v>0</v>
      </c>
      <c r="AC170" s="34">
        <f t="shared" si="103"/>
        <v>244.95205317047487</v>
      </c>
      <c r="AD170" s="34">
        <f t="shared" si="104"/>
        <v>0</v>
      </c>
      <c r="AE170" s="34">
        <f t="shared" si="105"/>
        <v>244.95205317047487</v>
      </c>
      <c r="AF170" s="36">
        <v>0</v>
      </c>
      <c r="AG170" s="36">
        <v>0</v>
      </c>
      <c r="AH170" s="39">
        <v>0</v>
      </c>
      <c r="AI170" s="39">
        <v>0</v>
      </c>
      <c r="AJ170" s="36">
        <f t="shared" si="106"/>
        <v>0</v>
      </c>
      <c r="AK170" s="36">
        <f t="shared" si="107"/>
        <v>0</v>
      </c>
      <c r="AL170" s="40"/>
      <c r="AM170" s="40"/>
      <c r="AN170" s="34">
        <f t="shared" si="108"/>
        <v>0</v>
      </c>
      <c r="AO170" s="34">
        <f t="shared" si="109"/>
        <v>0</v>
      </c>
      <c r="AP170" s="34">
        <f t="shared" si="110"/>
        <v>0</v>
      </c>
      <c r="AR170" s="34">
        <f t="shared" si="111"/>
        <v>244.95205317047487</v>
      </c>
      <c r="AS170" s="34"/>
      <c r="AT170" s="29">
        <f>+VLOOKUP(C170,dotpop24!$A$10:$K$178,11,0)</f>
        <v>2573894</v>
      </c>
      <c r="AU170" s="29">
        <f t="shared" si="112"/>
        <v>27977.108695652172</v>
      </c>
      <c r="AV170" s="29">
        <f t="shared" si="95"/>
        <v>13988.554347826086</v>
      </c>
      <c r="AW170" s="29">
        <f t="shared" si="113"/>
        <v>258385.84496724239</v>
      </c>
    </row>
    <row r="171" spans="1:49">
      <c r="A171" s="1" t="s">
        <v>30</v>
      </c>
      <c r="B171" s="1" t="s">
        <v>30</v>
      </c>
      <c r="C171" s="97">
        <v>820003218</v>
      </c>
      <c r="D171" s="1" t="s">
        <v>206</v>
      </c>
      <c r="E171" s="1" t="s">
        <v>25</v>
      </c>
      <c r="F171" s="44">
        <v>50691</v>
      </c>
      <c r="G171" s="44">
        <v>47823</v>
      </c>
      <c r="H171" s="44">
        <v>2868</v>
      </c>
      <c r="I171" s="45">
        <v>0.39700000000000002</v>
      </c>
      <c r="J171" s="45">
        <v>78.63</v>
      </c>
      <c r="K171" s="45">
        <v>9.48</v>
      </c>
      <c r="L171" s="45">
        <v>2.74</v>
      </c>
      <c r="M171" s="45">
        <v>1.1100000000000001</v>
      </c>
      <c r="N171" s="35">
        <v>82</v>
      </c>
      <c r="O171" s="35" t="s">
        <v>26</v>
      </c>
      <c r="P171" s="35">
        <v>140</v>
      </c>
      <c r="Q171" s="35">
        <v>10</v>
      </c>
      <c r="R171" s="225">
        <f t="shared" si="94"/>
        <v>0.93587084148727984</v>
      </c>
      <c r="S171" s="225">
        <f>+H171/(Q171*365)</f>
        <v>0.78575342465753428</v>
      </c>
      <c r="T171" s="225"/>
      <c r="U171" s="78">
        <f t="shared" si="97"/>
        <v>0</v>
      </c>
      <c r="V171" s="78">
        <f t="shared" si="98"/>
        <v>1.6424657534246576</v>
      </c>
      <c r="W171" s="36">
        <f t="shared" si="99"/>
        <v>140</v>
      </c>
      <c r="X171" s="36">
        <f t="shared" si="100"/>
        <v>10</v>
      </c>
      <c r="Y171" s="40">
        <f>IF(B171="Public", 'synthèse v2'!$F$62/1000, IF(B171="Privé non lucratif",'synthèse v2'!$F$61/1000, IF(B171="Privé", 'synthèse v2'!$F$60/1000, "")))</f>
        <v>26.522545062955601</v>
      </c>
      <c r="Z171" s="40">
        <f t="shared" si="76"/>
        <v>13.2612725314778</v>
      </c>
      <c r="AA171" s="40">
        <f t="shared" si="101"/>
        <v>0</v>
      </c>
      <c r="AB171" s="40">
        <f t="shared" si="102"/>
        <v>1.6424657534246576</v>
      </c>
      <c r="AC171" s="34">
        <f t="shared" si="103"/>
        <v>0</v>
      </c>
      <c r="AD171" s="34">
        <f t="shared" si="104"/>
        <v>21.781185979783402</v>
      </c>
      <c r="AE171" s="34">
        <f t="shared" si="105"/>
        <v>21.781185979783402</v>
      </c>
      <c r="AF171" s="36">
        <v>0</v>
      </c>
      <c r="AG171" s="36">
        <v>0</v>
      </c>
      <c r="AH171" s="39">
        <v>0</v>
      </c>
      <c r="AI171" s="39">
        <v>0</v>
      </c>
      <c r="AJ171" s="36">
        <f t="shared" si="106"/>
        <v>0</v>
      </c>
      <c r="AK171" s="36">
        <f t="shared" si="107"/>
        <v>0</v>
      </c>
      <c r="AL171" s="40"/>
      <c r="AM171" s="40"/>
      <c r="AN171" s="34">
        <f t="shared" si="108"/>
        <v>0</v>
      </c>
      <c r="AO171" s="34">
        <f t="shared" si="109"/>
        <v>0</v>
      </c>
      <c r="AP171" s="34">
        <f t="shared" si="110"/>
        <v>0</v>
      </c>
      <c r="AR171" s="34">
        <f t="shared" si="111"/>
        <v>21.781185979783402</v>
      </c>
      <c r="AS171" s="34"/>
      <c r="AT171" s="29">
        <f>+VLOOKUP(C171,dotpop24!$A$10:$K$178,11,0)</f>
        <v>2723992.43</v>
      </c>
      <c r="AU171" s="29">
        <f t="shared" si="112"/>
        <v>18786.154689655174</v>
      </c>
      <c r="AV171" s="29">
        <f t="shared" si="95"/>
        <v>9393.0773448275868</v>
      </c>
      <c r="AW171" s="29">
        <f t="shared" si="113"/>
        <v>15427.807858148324</v>
      </c>
    </row>
    <row r="172" spans="1:49">
      <c r="A172" s="1" t="s">
        <v>22</v>
      </c>
      <c r="B172" s="1" t="s">
        <v>23</v>
      </c>
      <c r="C172" s="97">
        <v>820004950</v>
      </c>
      <c r="D172" s="1" t="s">
        <v>207</v>
      </c>
      <c r="E172" s="1" t="s">
        <v>25</v>
      </c>
      <c r="F172" s="44">
        <v>11426</v>
      </c>
      <c r="G172" s="44">
        <v>11426</v>
      </c>
      <c r="H172" s="44">
        <v>0</v>
      </c>
      <c r="I172" s="45">
        <v>0.39100000000000001</v>
      </c>
      <c r="J172" s="45">
        <v>82.51</v>
      </c>
      <c r="K172" s="45">
        <v>10.95</v>
      </c>
      <c r="L172" s="45">
        <v>3.55</v>
      </c>
      <c r="M172" s="45">
        <v>1.06</v>
      </c>
      <c r="N172" s="35">
        <v>82</v>
      </c>
      <c r="O172" s="35" t="s">
        <v>26</v>
      </c>
      <c r="P172" s="35">
        <v>36</v>
      </c>
      <c r="Q172" s="35">
        <v>0</v>
      </c>
      <c r="R172" s="225">
        <f t="shared" si="94"/>
        <v>0.86955859969558602</v>
      </c>
      <c r="S172" s="225"/>
      <c r="T172" s="225"/>
      <c r="U172" s="78">
        <f t="shared" si="97"/>
        <v>1.095890410958904</v>
      </c>
      <c r="V172" s="78">
        <f t="shared" si="98"/>
        <v>0</v>
      </c>
      <c r="W172" s="36">
        <f t="shared" si="99"/>
        <v>36</v>
      </c>
      <c r="X172" s="36">
        <f t="shared" si="100"/>
        <v>0</v>
      </c>
      <c r="Y172" s="40">
        <f>IF(B172="Public", 'synthèse v2'!$F$62/1000, IF(B172="Privé non lucratif",'synthèse v2'!$F$61/1000, IF(B172="Privé", 'synthèse v2'!$F$60/1000, "")))</f>
        <v>43.762959354365371</v>
      </c>
      <c r="Z172" s="40">
        <f t="shared" si="76"/>
        <v>21.881479677182686</v>
      </c>
      <c r="AA172" s="40">
        <f t="shared" si="101"/>
        <v>1.095890410958904</v>
      </c>
      <c r="AB172" s="40">
        <f t="shared" si="102"/>
        <v>0</v>
      </c>
      <c r="AC172" s="34">
        <f t="shared" si="103"/>
        <v>47.95940751163328</v>
      </c>
      <c r="AD172" s="34">
        <f t="shared" si="104"/>
        <v>0</v>
      </c>
      <c r="AE172" s="34">
        <f t="shared" si="105"/>
        <v>47.95940751163328</v>
      </c>
      <c r="AF172" s="36">
        <v>0</v>
      </c>
      <c r="AG172" s="36">
        <v>0</v>
      </c>
      <c r="AH172" s="39">
        <v>0</v>
      </c>
      <c r="AI172" s="39">
        <v>0</v>
      </c>
      <c r="AJ172" s="36">
        <f t="shared" si="106"/>
        <v>0</v>
      </c>
      <c r="AK172" s="36">
        <f t="shared" si="107"/>
        <v>0</v>
      </c>
      <c r="AL172" s="40"/>
      <c r="AM172" s="40"/>
      <c r="AN172" s="34">
        <f t="shared" si="108"/>
        <v>0</v>
      </c>
      <c r="AO172" s="34">
        <f t="shared" si="109"/>
        <v>0</v>
      </c>
      <c r="AP172" s="34">
        <f t="shared" si="110"/>
        <v>0</v>
      </c>
      <c r="AR172" s="34">
        <f t="shared" si="111"/>
        <v>47.95940751163328</v>
      </c>
      <c r="AS172" s="34"/>
      <c r="AT172" s="29">
        <f>+VLOOKUP(C172,dotpop24!$A$10:$K$178,11,0)</f>
        <v>1607251.74</v>
      </c>
      <c r="AU172" s="29">
        <f t="shared" si="112"/>
        <v>44645.881666666668</v>
      </c>
      <c r="AV172" s="29">
        <f t="shared" si="95"/>
        <v>22322.940833333334</v>
      </c>
      <c r="AW172" s="29">
        <f t="shared" si="113"/>
        <v>48926.993607305936</v>
      </c>
    </row>
    <row r="173" spans="1:49">
      <c r="A173" s="1" t="s">
        <v>30</v>
      </c>
      <c r="B173" s="1" t="s">
        <v>30</v>
      </c>
      <c r="C173" s="97">
        <v>820010866</v>
      </c>
      <c r="D173" s="79" t="s">
        <v>1525</v>
      </c>
      <c r="E173" s="1" t="s">
        <v>25</v>
      </c>
      <c r="F173" s="44">
        <v>5213</v>
      </c>
      <c r="G173" s="44">
        <v>0</v>
      </c>
      <c r="H173" s="44">
        <v>5213</v>
      </c>
      <c r="I173" s="45">
        <v>0.80100000000000005</v>
      </c>
      <c r="J173" s="45">
        <v>59.84</v>
      </c>
      <c r="K173" s="45">
        <v>4</v>
      </c>
      <c r="L173" s="45">
        <v>2.02</v>
      </c>
      <c r="M173" s="45">
        <v>2.88</v>
      </c>
      <c r="N173" s="35">
        <v>82</v>
      </c>
      <c r="O173" s="35" t="s">
        <v>26</v>
      </c>
      <c r="P173" s="35"/>
      <c r="Q173" s="217">
        <v>25</v>
      </c>
      <c r="R173" s="225"/>
      <c r="S173" s="225">
        <f>+H173/(Q173*365)</f>
        <v>0.57128767123287671</v>
      </c>
      <c r="T173" s="226" t="s">
        <v>661</v>
      </c>
      <c r="U173" s="78">
        <f t="shared" si="97"/>
        <v>0</v>
      </c>
      <c r="V173" s="78">
        <f t="shared" si="98"/>
        <v>9.4678082191780817</v>
      </c>
      <c r="W173" s="36">
        <f t="shared" si="99"/>
        <v>0</v>
      </c>
      <c r="X173" s="36">
        <f t="shared" si="100"/>
        <v>25</v>
      </c>
      <c r="Y173" s="40">
        <f>IF(B173="Public", 'synthèse v2'!$F$62/1000, IF(B173="Privé non lucratif",'synthèse v2'!$F$61/1000, IF(B173="Privé", 'synthèse v2'!$F$60/1000, "")))</f>
        <v>26.522545062955601</v>
      </c>
      <c r="Z173" s="40">
        <f t="shared" si="76"/>
        <v>13.2612725314778</v>
      </c>
      <c r="AA173" s="40">
        <f t="shared" si="101"/>
        <v>0</v>
      </c>
      <c r="AB173" s="40">
        <f t="shared" si="102"/>
        <v>9.4678082191780817</v>
      </c>
      <c r="AC173" s="34">
        <f t="shared" si="103"/>
        <v>0</v>
      </c>
      <c r="AD173" s="34">
        <f t="shared" si="104"/>
        <v>125.55518507028604</v>
      </c>
      <c r="AE173" s="34">
        <f t="shared" si="105"/>
        <v>125.55518507028604</v>
      </c>
      <c r="AF173" s="36">
        <v>0</v>
      </c>
      <c r="AG173" s="36">
        <v>0</v>
      </c>
      <c r="AH173" s="39">
        <v>0</v>
      </c>
      <c r="AI173" s="39">
        <v>0</v>
      </c>
      <c r="AJ173" s="36">
        <f t="shared" si="106"/>
        <v>0</v>
      </c>
      <c r="AK173" s="36">
        <f t="shared" si="107"/>
        <v>0</v>
      </c>
      <c r="AL173" s="40"/>
      <c r="AM173" s="40"/>
      <c r="AN173" s="34">
        <f t="shared" si="108"/>
        <v>0</v>
      </c>
      <c r="AO173" s="34">
        <f t="shared" si="109"/>
        <v>0</v>
      </c>
      <c r="AP173" s="34">
        <f t="shared" si="110"/>
        <v>0</v>
      </c>
      <c r="AR173" s="34">
        <f t="shared" si="111"/>
        <v>125.55518507028604</v>
      </c>
      <c r="AS173" s="34"/>
      <c r="AT173" s="29">
        <f>+VLOOKUP(C173,dotpop24!$A$10:$K$178,11,0)</f>
        <v>242944</v>
      </c>
      <c r="AU173" s="29">
        <f t="shared" si="112"/>
        <v>19435.52</v>
      </c>
      <c r="AV173" s="29">
        <f t="shared" si="95"/>
        <v>9717.76</v>
      </c>
      <c r="AW173" s="29">
        <f t="shared" si="113"/>
        <v>92005.887999999992</v>
      </c>
    </row>
    <row r="174" spans="1:49">
      <c r="A174" s="1" t="s">
        <v>228</v>
      </c>
      <c r="F174" s="66">
        <f>SUM(F5:F173)</f>
        <v>3859878</v>
      </c>
      <c r="G174" s="66">
        <f>SUM(G5:G173)</f>
        <v>3317636</v>
      </c>
      <c r="H174" s="66">
        <f>SUM(H5:H173)</f>
        <v>542242</v>
      </c>
      <c r="N174" s="33"/>
      <c r="O174" s="33"/>
      <c r="P174" s="33">
        <f>SUM(P5:P173)</f>
        <v>10851</v>
      </c>
      <c r="Q174" s="33">
        <f>SUM(Q5:Q173)</f>
        <v>1989</v>
      </c>
      <c r="R174" s="33"/>
      <c r="S174" s="33"/>
      <c r="T174" s="33"/>
      <c r="U174" s="34">
        <f>U175 + U176 + U177</f>
        <v>961.13287671232877</v>
      </c>
      <c r="V174" s="34">
        <f>SUM(V5:V173)</f>
        <v>621.4224130663855</v>
      </c>
      <c r="W174" s="41" cm="1">
        <f t="array" ref="W174">SUM(_xlfn._xlws.FILTER(W5:W173, ISNUMBER(W5:W173)))</f>
        <v>10634</v>
      </c>
      <c r="X174" s="33" cm="1">
        <f t="array" ref="X174">SUM(IF(ISNUMBER(X5:X173), X5:X173))</f>
        <v>1804</v>
      </c>
      <c r="Y174" s="40" t="str">
        <f>IF(B174="Public", 44, IF(B174="Privé non lucratif", 33, IF(B174="Privé", 28, "")))</f>
        <v/>
      </c>
      <c r="Z174" s="40"/>
      <c r="AA174" s="41">
        <f>SUM(AA5:AA173)</f>
        <v>862.8863013698633</v>
      </c>
      <c r="AB174" s="40">
        <f>SUM(AB5:AB173)</f>
        <v>559.6335089567965</v>
      </c>
      <c r="AC174" s="34" cm="1">
        <f t="array" ref="AC174">SUM(_xlfn._xlws.FILTER(AC5:AC173, ISNUMBER(AC5:AC173)))</f>
        <v>31666.56431411624</v>
      </c>
      <c r="AD174" s="34" cm="1">
        <f t="array" ref="AD174">SUM(_xlfn._xlws.FILTER(AD5:AD173, ISNUMBER(AD5:AD173)))</f>
        <v>8553.1834458154171</v>
      </c>
      <c r="AE174" s="34" cm="1">
        <f t="array" ref="AE174">SUM(_xlfn._xlws.FILTER(AE5:AE173, ISNUMBER(AE5:AE173)))</f>
        <v>40219.747759931641</v>
      </c>
      <c r="AF174" s="33" cm="1">
        <f t="array" ref="AF174">SUM(_xlfn._xlws.FILTER(AF5:AF173, ISNUMBER(AF5:AF173)))</f>
        <v>217</v>
      </c>
      <c r="AG174" s="33" cm="1">
        <f t="array" ref="AG174">SUM(_xlfn._xlws.FILTER(AG5:AG173, ISNUMBER(AG5:AG173)))</f>
        <v>185</v>
      </c>
      <c r="AH174" s="33"/>
      <c r="AI174" s="33"/>
      <c r="AJ174" s="41">
        <f>SUM(AJ5:AJ173)</f>
        <v>98.246575342465746</v>
      </c>
      <c r="AK174" s="41">
        <f t="shared" ref="AK174" si="114">SUM(AK5:AK173)</f>
        <v>61.788904109589041</v>
      </c>
      <c r="AL174" s="40"/>
      <c r="AM174" s="40"/>
      <c r="AN174" s="34">
        <f>SUM(AN5:AN173)</f>
        <v>8975.864383561644</v>
      </c>
      <c r="AO174" s="34">
        <f>SUM(AO5:AO173)</f>
        <v>2194.9313013698629</v>
      </c>
      <c r="AP174" s="34">
        <f>SUM(AP5:AP173)</f>
        <v>11170.795684931507</v>
      </c>
      <c r="AR174" s="34" cm="1">
        <f t="array" ref="AR174">SUM(_xlfn._xlws.FILTER(AR5:AR173, ISNUMBER(AR5:AR173)))</f>
        <v>51390.543444863157</v>
      </c>
      <c r="AS174" s="34"/>
      <c r="AW174" s="246" cm="1">
        <f t="array" ref="AW174">SUM(_xlfn._xlws.FILTER(AW5:AW173, ISNUMBER(AW5:AW173)))</f>
        <v>38460779.101958521</v>
      </c>
    </row>
    <row r="175" spans="1:49">
      <c r="A175" s="1" t="s">
        <v>290</v>
      </c>
      <c r="G175" cm="1">
        <f t="array" ref="G175">SUM(IF((ISNUMBER(AH5:AH174))*(B5:B174="Public"), G5:G174))</f>
        <v>948916</v>
      </c>
      <c r="H175" cm="1">
        <f t="array" ref="H175">SUM(IF((ISNUMBER(AH5:AH174))*(B5:B174="Public"), H5:H173))</f>
        <v>96141</v>
      </c>
      <c r="N175" s="33"/>
      <c r="O175" s="33"/>
      <c r="P175" s="33">
        <f>SUMIF(B5:B173, "Public", P5:P173)</f>
        <v>3238</v>
      </c>
      <c r="Q175" s="33">
        <f>SUMIF(B5:B173, "Public", Q5:Q173)</f>
        <v>347</v>
      </c>
      <c r="R175" s="33"/>
      <c r="S175" s="33"/>
      <c r="T175" s="33"/>
      <c r="U175" s="34">
        <f>SUMIF(B5:B173, "Public", U5:U173)</f>
        <v>382.97671232876712</v>
      </c>
      <c r="V175" s="34">
        <f>SUMIF(B5:B173, "Public", V5:V173)</f>
        <v>79.747260273972586</v>
      </c>
      <c r="W175" s="33" cm="1">
        <f t="array" ref="W175">SUM(IF((ISNUMBER(W5:W173))*(B5:B173="Public"), W5:W173))</f>
        <v>3238</v>
      </c>
      <c r="X175" s="33" cm="1">
        <f t="array" ref="X175">SUM(IF((ISNUMBER(X5:X173))*(B5:B173="Public"), X5:X173))</f>
        <v>339</v>
      </c>
      <c r="Y175" s="40" t="str">
        <f>IF(B175="Public", 44, IF(B175="Privé non lucratif", 33, IF(B175="Privé", 28, "")))</f>
        <v/>
      </c>
      <c r="Z175" s="34"/>
      <c r="AA175" s="34">
        <f>SUMIF(B5:B173, "Public", AA5:AA173)</f>
        <v>382.97671232876712</v>
      </c>
      <c r="AB175" s="34">
        <f>SUMIF(B5:B173, "Public", AB5:AB173)</f>
        <v>79.747260273972586</v>
      </c>
      <c r="AC175" s="34">
        <f>SUMIF(B5:B173, "Public", AC5:AC173)</f>
        <v>16760.194295312318</v>
      </c>
      <c r="AD175" s="34">
        <f>SUMIF(B5:B173, "Public", AD5:AD173)</f>
        <v>1744.9880549959296</v>
      </c>
      <c r="AE175" s="34">
        <f>SUMIF(B5:B173, "Public", AE5:AE173)</f>
        <v>18505.182350308249</v>
      </c>
      <c r="AF175" s="33" cm="1">
        <f t="array" ref="AF175">SUM(IF((ISNUMBER(AF5:AF173))*(B5:B173="Public"), AF5:AF173))</f>
        <v>0</v>
      </c>
      <c r="AG175" s="33" cm="1">
        <f t="array" ref="AG175">SUM(IF((ISNUMBER(AG5:AG173))*(B5:B173="Public"), AG5:AG173))</f>
        <v>8</v>
      </c>
      <c r="AH175" s="33"/>
      <c r="AI175" s="33"/>
      <c r="AJ175" s="51">
        <f xml:space="preserve"> SUMIF(B5:B173,  "Public",AJ5:AJ173)</f>
        <v>0</v>
      </c>
      <c r="AK175" s="34">
        <f>SUMIF(B5:B173,  "Public", AK5:AK173)</f>
        <v>0</v>
      </c>
      <c r="AL175" s="34"/>
      <c r="AM175" s="34"/>
      <c r="AN175" s="34">
        <f>SUMIF(B5:B173, "Public", AN5:AN173)</f>
        <v>0</v>
      </c>
      <c r="AO175" s="34">
        <f>SUMIF(B5:B173, "Public", AO5:AO173)</f>
        <v>0</v>
      </c>
      <c r="AP175" s="34">
        <f>SUMIF(B5:B173, "Public", AP5:AP173)</f>
        <v>0</v>
      </c>
      <c r="AR175" s="34">
        <f>SUMIF(B5:B173, "Public", AR5:AR173)</f>
        <v>18505.182350308249</v>
      </c>
      <c r="AS175" s="34"/>
      <c r="AW175" s="246">
        <f>SUMIF(B5:B173, "Public", AW5:AW173)</f>
        <v>17379155.512324505</v>
      </c>
    </row>
    <row r="176" spans="1:49">
      <c r="A176" s="1" t="s">
        <v>291</v>
      </c>
      <c r="G176" cm="1">
        <f t="array" ref="G176">SUM(IF((ISNUMBER(AH5:AH174))*(B5:B174="Privé non lucratif"), G5:G174))</f>
        <v>603289</v>
      </c>
      <c r="H176" cm="1">
        <f t="array" ref="H176">SUM(IF((ISNUMBER(AH5:AH174))*(B5:B174="Privé non lucratif"), H5:H174))</f>
        <v>109949</v>
      </c>
      <c r="N176" s="33"/>
      <c r="O176" s="33"/>
      <c r="P176" s="33">
        <f>SUMIF(B5:B173, "Privé non lucratif", P5:P173)</f>
        <v>2158</v>
      </c>
      <c r="Q176" s="33">
        <f>SUMIF(B5:B173, "Privé non lucratif", Q5:Q173)</f>
        <v>454</v>
      </c>
      <c r="R176" s="33"/>
      <c r="S176" s="33"/>
      <c r="T176" s="33"/>
      <c r="U176" s="34">
        <f>SUMIF(B5:B173, "Privé non lucratif", U5:U173)</f>
        <v>306.42739726027401</v>
      </c>
      <c r="V176" s="34">
        <f xml:space="preserve"> SUMIF(B5:B173, "Privé non lucratif",V5:V173)</f>
        <v>146.72515279241307</v>
      </c>
      <c r="W176" s="33" cm="1">
        <f t="array" ref="W176">SUM(IF((ISNUMBER(W5:W173))*(B5:B173="Privé non lucratif"), W5:W173))</f>
        <v>1949</v>
      </c>
      <c r="X176" s="33" cm="1">
        <f t="array" ref="X176">SUM(IF((ISNUMBER(X5:X173))*(B5:B173="Privé non lucratif"), X5:X173))</f>
        <v>287</v>
      </c>
      <c r="Y176" s="40" t="str">
        <f>IF(B176="Public", 44, IF(B176="Privé non lucratif", 33, IF(B176="Privé", 28, "")))</f>
        <v/>
      </c>
      <c r="Z176" s="34"/>
      <c r="AA176" s="34">
        <f>SUMIF(B5:B173, "Privé non lucratif", AA5:AA173)</f>
        <v>208.1808219178082</v>
      </c>
      <c r="AB176" s="34">
        <f>SUMIF(B5:B173, "Privé non lucratif", AB5:AB173)</f>
        <v>84.936248682824001</v>
      </c>
      <c r="AC176" s="34">
        <f>SUMIF(B5:B173, "Privé non lucratif", AC5:AC173)</f>
        <v>7699.4315478751569</v>
      </c>
      <c r="AD176" s="34">
        <f>SUMIF(B5:B173, "Privé non lucratif", AD5:AD173)</f>
        <v>1570.6558045123272</v>
      </c>
      <c r="AE176" s="34">
        <f>SUMIF(B5:B173, "Privé non lucratif", AE5:AE173)</f>
        <v>9270.0873523874889</v>
      </c>
      <c r="AF176" s="33" cm="1">
        <f t="array" ref="AF176">SUM(IF((ISNUMBER(AF5:AF173))*(B5:B173="Privé non lucratif"), AF5:AF173))</f>
        <v>209</v>
      </c>
      <c r="AG176" s="33" cm="1">
        <f t="array" ref="AG176">SUM(IF((ISNUMBER(AG5:AG173))*(B5:B173="Privé non lucratif"), AG5:AG173))</f>
        <v>167</v>
      </c>
      <c r="AH176" s="33"/>
      <c r="AI176" s="33"/>
      <c r="AJ176" s="34">
        <f xml:space="preserve"> SUMIF(B5:B173,  "Privé non lucratif",AJ5:AJ173)</f>
        <v>98.246575342465746</v>
      </c>
      <c r="AK176" s="34">
        <f>SUMIF(B5:B173,  "Privé non lucratif", AK5:AK173)</f>
        <v>61.788904109589041</v>
      </c>
      <c r="AL176" s="34"/>
      <c r="AM176" s="34"/>
      <c r="AN176" s="34">
        <f>SUMIF(B5:B173, "Privé non lucratif", AN5:AN173)</f>
        <v>8975.864383561644</v>
      </c>
      <c r="AO176" s="34">
        <f>SUMIF(B5:B173, "Privé non lucratif", AO5:AO173)</f>
        <v>2194.9313013698629</v>
      </c>
      <c r="AP176" s="34">
        <f>SUMIF(B5:B173, "Privé non lucratif", AP5:AP173)</f>
        <v>11170.795684931507</v>
      </c>
      <c r="AR176" s="34">
        <f>SUMIF(B5:B173, "Privé non lucratif", AR5:AR173)</f>
        <v>20440.883037318992</v>
      </c>
      <c r="AS176" s="34"/>
      <c r="AW176" s="246">
        <f>SUMIF(B5:B173, "Privé non lucratif", AW5:AW173)</f>
        <v>8916749.0941488128</v>
      </c>
    </row>
    <row r="177" spans="1:49">
      <c r="A177" s="1" t="s">
        <v>292</v>
      </c>
      <c r="G177" cm="1">
        <f t="array" ref="G177">SUM(IF((ISNUMBER(AH5:AH174))*(B5:B174="Privé"), G5:G174))</f>
        <v>1765431</v>
      </c>
      <c r="H177" cm="1">
        <f t="array" ref="H177">SUM(IF((ISNUMBER(AH5:AH174))*(B5:B174="Privé"), H5:H174))</f>
        <v>336152</v>
      </c>
      <c r="N177" s="33"/>
      <c r="O177" s="33"/>
      <c r="P177" s="33">
        <f>SUMIF(B5:B173, "Privé", P5:P173)</f>
        <v>5455</v>
      </c>
      <c r="Q177" s="33">
        <f>SUMIF(B5:B173, "Privé", Q5:Q173)</f>
        <v>1188</v>
      </c>
      <c r="R177" s="33"/>
      <c r="S177" s="33"/>
      <c r="T177" s="33"/>
      <c r="U177" s="34">
        <f>SUMIF(B5:B173, "Privé", U5:U173)</f>
        <v>271.72876712328764</v>
      </c>
      <c r="V177" s="34">
        <f xml:space="preserve"> SUMIF(B5:B173, "Privé",V5:V173)</f>
        <v>394.95</v>
      </c>
      <c r="W177" s="33" cm="1">
        <f t="array" ref="W177">SUM(IF((ISNUMBER(W5:W173))*(B5:B173="Privé"), W5:W173))</f>
        <v>5447</v>
      </c>
      <c r="X177" s="33" cm="1">
        <f t="array" ref="X177">SUM(IF((ISNUMBER(X5:X173))*(B5:B173="Privé"), X5:X173))</f>
        <v>1178</v>
      </c>
      <c r="Y177" s="40" t="str">
        <f>IF(B177="Public", 44, IF(B177="Privé non lucratif", 33, IF(B177="Privé", 28, "")))</f>
        <v/>
      </c>
      <c r="Z177" s="34"/>
      <c r="AA177" s="34">
        <f>SUMIF(B5:B173, "Privé", AA5:AA173)</f>
        <v>271.72876712328764</v>
      </c>
      <c r="AB177" s="34">
        <f>SUMIF(B5:B173, "Privé", AB5:AB173)</f>
        <v>394.95</v>
      </c>
      <c r="AC177" s="34">
        <f>SUMIF(B5:B173, "Privé", AC5:AC173)</f>
        <v>7206.938470928766</v>
      </c>
      <c r="AD177" s="34">
        <f>SUMIF(B5:B173, "Privé", AD5:AD173)</f>
        <v>5237.5395863071562</v>
      </c>
      <c r="AE177" s="34">
        <f>SUMIF(B5:B173, "Privé", AE5:AE173)</f>
        <v>12444.478057235927</v>
      </c>
      <c r="AF177" s="33" cm="1">
        <f t="array" ref="AF177">SUM(IF((ISNUMBER(AF5:AF173))*(B5:B173="Privé"), AF5:AF173))</f>
        <v>8</v>
      </c>
      <c r="AG177" s="33" cm="1">
        <f t="array" ref="AG177">SUM(IF((ISNUMBER(AG5:AG173))*(B5:B173="Privé"), AG5:AG173))</f>
        <v>10</v>
      </c>
      <c r="AH177" s="33"/>
      <c r="AI177" s="33"/>
      <c r="AJ177" s="34">
        <f xml:space="preserve"> SUMIF(B5:B173,  "Privé",AJ5:AJ173)</f>
        <v>0</v>
      </c>
      <c r="AK177" s="34">
        <f>SUMIF(B5:B173,  "Privé", AK5:AK173)</f>
        <v>0</v>
      </c>
      <c r="AL177" s="34"/>
      <c r="AM177" s="34"/>
      <c r="AN177" s="34">
        <f>SUMIF(B5:B173, "Privé", AN5:AN173)</f>
        <v>0</v>
      </c>
      <c r="AO177" s="34">
        <f>SUMIF(B5:B173, "Privé", AO5:AO173)</f>
        <v>0</v>
      </c>
      <c r="AP177" s="34">
        <f>SUMIF(B5:B173, "Privé", AP5:AP173)</f>
        <v>0</v>
      </c>
      <c r="AR177" s="34">
        <f>SUMIF(B5:B173, "Privé", AR5:AR173)</f>
        <v>12444.478057235927</v>
      </c>
      <c r="AS177" s="34"/>
      <c r="AW177" s="246">
        <f>SUMIF(B5:B173, "Privé", AW5:AW173)</f>
        <v>12164874.495485211</v>
      </c>
    </row>
    <row r="178" spans="1:49">
      <c r="V178" s="63"/>
    </row>
    <row r="179" spans="1:49">
      <c r="F179" s="268" t="s">
        <v>1495</v>
      </c>
      <c r="G179" s="268"/>
      <c r="H179" s="268"/>
      <c r="P179">
        <f>+SUM(P5:P173)</f>
        <v>10851</v>
      </c>
      <c r="Q179">
        <f>+SUM(Q5:Q173)</f>
        <v>1989</v>
      </c>
    </row>
    <row r="180" spans="1:49">
      <c r="H180" s="66"/>
    </row>
  </sheetData>
  <autoFilter ref="A4:AW177" xr:uid="{783273DB-2B27-4AE5-96A6-609A69392AD0}"/>
  <mergeCells count="4">
    <mergeCell ref="F179:H179"/>
    <mergeCell ref="W3:AE3"/>
    <mergeCell ref="AF3:AP3"/>
    <mergeCell ref="AT3:AW3"/>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A18D-9BEB-4BD1-B203-86BE299DA5E3}">
  <dimension ref="A2:Q21"/>
  <sheetViews>
    <sheetView workbookViewId="0">
      <selection activeCell="D24" sqref="D24"/>
    </sheetView>
  </sheetViews>
  <sheetFormatPr baseColWidth="10" defaultRowHeight="15"/>
  <cols>
    <col min="1" max="1" width="6.7109375" bestFit="1" customWidth="1"/>
    <col min="2" max="2" width="5.28515625" bestFit="1" customWidth="1"/>
    <col min="3" max="3" width="13" bestFit="1" customWidth="1"/>
    <col min="4" max="4" width="41.5703125" bestFit="1" customWidth="1"/>
    <col min="5" max="5" width="17.85546875" bestFit="1" customWidth="1"/>
    <col min="6" max="6" width="17.140625" bestFit="1" customWidth="1"/>
    <col min="7" max="10" width="12.28515625" customWidth="1"/>
    <col min="15" max="15" width="14.28515625" customWidth="1"/>
  </cols>
  <sheetData>
    <row r="2" spans="1:17">
      <c r="F2" s="274" t="s">
        <v>227</v>
      </c>
      <c r="G2" s="274"/>
      <c r="H2" s="274"/>
      <c r="I2" s="274"/>
      <c r="J2" s="274"/>
      <c r="K2" s="274" t="s">
        <v>228</v>
      </c>
      <c r="L2" s="274"/>
      <c r="M2" s="274"/>
      <c r="N2" s="274"/>
      <c r="O2" s="18" t="s">
        <v>229</v>
      </c>
    </row>
    <row r="3" spans="1:17" ht="75">
      <c r="A3" s="21" t="s">
        <v>230</v>
      </c>
      <c r="B3" s="22" t="s">
        <v>231</v>
      </c>
      <c r="C3" s="21" t="s">
        <v>232</v>
      </c>
      <c r="D3" s="21" t="s">
        <v>233</v>
      </c>
      <c r="E3" s="23" t="s">
        <v>234</v>
      </c>
      <c r="F3" s="24" t="s">
        <v>235</v>
      </c>
      <c r="G3" s="25" t="s">
        <v>236</v>
      </c>
      <c r="H3" s="25" t="s">
        <v>237</v>
      </c>
      <c r="I3" s="25" t="s">
        <v>238</v>
      </c>
      <c r="J3" s="26" t="s">
        <v>239</v>
      </c>
      <c r="K3" s="25" t="s">
        <v>236</v>
      </c>
      <c r="L3" s="25" t="s">
        <v>237</v>
      </c>
      <c r="M3" s="25" t="s">
        <v>238</v>
      </c>
      <c r="N3" s="26" t="s">
        <v>239</v>
      </c>
      <c r="O3" s="25" t="s">
        <v>240</v>
      </c>
      <c r="P3" s="27" t="s">
        <v>241</v>
      </c>
    </row>
    <row r="4" spans="1:17">
      <c r="A4" s="28" t="s">
        <v>242</v>
      </c>
      <c r="B4" t="s">
        <v>243</v>
      </c>
      <c r="C4" s="28" t="s">
        <v>244</v>
      </c>
      <c r="D4" t="s">
        <v>245</v>
      </c>
      <c r="E4" s="28" t="s">
        <v>246</v>
      </c>
      <c r="F4" t="s">
        <v>247</v>
      </c>
      <c r="G4" s="29">
        <v>5371</v>
      </c>
      <c r="H4" s="29">
        <v>30</v>
      </c>
      <c r="I4" s="29">
        <v>8820</v>
      </c>
      <c r="J4" s="30">
        <f t="shared" ref="J4:J11" si="0">IFERROR(G4/I4,"–")</f>
        <v>0.6089569160997732</v>
      </c>
      <c r="K4">
        <v>8443</v>
      </c>
      <c r="L4">
        <v>60</v>
      </c>
      <c r="M4">
        <v>17640</v>
      </c>
      <c r="N4" s="30">
        <f t="shared" ref="N4:N11" si="1">IFERROR(K4/M4,"–")</f>
        <v>0.4786281179138322</v>
      </c>
      <c r="O4" s="29">
        <f>+K4-G4</f>
        <v>3072</v>
      </c>
      <c r="P4" s="30">
        <f>+G4/K4</f>
        <v>0.63614828852303684</v>
      </c>
    </row>
    <row r="5" spans="1:17">
      <c r="A5" s="28" t="s">
        <v>242</v>
      </c>
      <c r="B5" t="s">
        <v>243</v>
      </c>
      <c r="C5" s="28" t="s">
        <v>248</v>
      </c>
      <c r="D5" s="32" t="s">
        <v>249</v>
      </c>
      <c r="E5" s="28" t="s">
        <v>250</v>
      </c>
      <c r="F5" t="s">
        <v>247</v>
      </c>
      <c r="G5" s="29">
        <v>8836</v>
      </c>
      <c r="H5" s="29">
        <v>60</v>
      </c>
      <c r="I5" s="29">
        <v>21360</v>
      </c>
      <c r="J5" s="30">
        <f t="shared" si="0"/>
        <v>0.41367041198501875</v>
      </c>
      <c r="K5">
        <v>8836</v>
      </c>
      <c r="L5">
        <v>60</v>
      </c>
      <c r="M5">
        <v>21360</v>
      </c>
      <c r="N5" s="30">
        <f t="shared" si="1"/>
        <v>0.41367041198501875</v>
      </c>
      <c r="O5" s="29">
        <f t="shared" ref="O5:O10" si="2">+K5-G5</f>
        <v>0</v>
      </c>
      <c r="P5" s="30">
        <f t="shared" ref="P5:P11" si="3">+G5/K5</f>
        <v>1</v>
      </c>
    </row>
    <row r="6" spans="1:17">
      <c r="A6" s="28" t="s">
        <v>242</v>
      </c>
      <c r="B6" t="s">
        <v>243</v>
      </c>
      <c r="C6" s="28" t="s">
        <v>251</v>
      </c>
      <c r="D6" s="32" t="s">
        <v>252</v>
      </c>
      <c r="E6" s="28" t="s">
        <v>253</v>
      </c>
      <c r="F6" t="s">
        <v>247</v>
      </c>
      <c r="G6" s="29">
        <v>2251</v>
      </c>
      <c r="H6" s="29">
        <v>10</v>
      </c>
      <c r="I6" s="29">
        <v>3650</v>
      </c>
      <c r="J6" s="30">
        <f t="shared" si="0"/>
        <v>0.61671232876712334</v>
      </c>
      <c r="K6">
        <v>2251</v>
      </c>
      <c r="L6">
        <v>10</v>
      </c>
      <c r="M6">
        <v>3650</v>
      </c>
      <c r="N6" s="30">
        <f t="shared" si="1"/>
        <v>0.61671232876712334</v>
      </c>
      <c r="O6" s="29">
        <f t="shared" si="2"/>
        <v>0</v>
      </c>
      <c r="P6" s="30">
        <f t="shared" si="3"/>
        <v>1</v>
      </c>
    </row>
    <row r="7" spans="1:17">
      <c r="A7" s="28" t="s">
        <v>242</v>
      </c>
      <c r="B7" t="s">
        <v>254</v>
      </c>
      <c r="C7" s="28" t="s">
        <v>255</v>
      </c>
      <c r="D7" s="32" t="s">
        <v>256</v>
      </c>
      <c r="E7" s="28" t="s">
        <v>257</v>
      </c>
      <c r="F7" t="s">
        <v>247</v>
      </c>
      <c r="G7" s="29">
        <v>9109</v>
      </c>
      <c r="H7" s="29">
        <v>49</v>
      </c>
      <c r="I7" s="29">
        <v>17885</v>
      </c>
      <c r="J7" s="30">
        <f t="shared" si="0"/>
        <v>0.50930947721554376</v>
      </c>
      <c r="K7">
        <v>10314</v>
      </c>
      <c r="L7">
        <v>55</v>
      </c>
      <c r="M7">
        <v>20075</v>
      </c>
      <c r="N7" s="30">
        <f t="shared" si="1"/>
        <v>0.51377334993773349</v>
      </c>
      <c r="O7" s="29">
        <f t="shared" si="2"/>
        <v>1205</v>
      </c>
      <c r="P7" s="30">
        <f t="shared" si="3"/>
        <v>0.88316850882295905</v>
      </c>
    </row>
    <row r="8" spans="1:17" ht="15.75" customHeight="1">
      <c r="A8" s="28" t="s">
        <v>242</v>
      </c>
      <c r="B8" t="s">
        <v>258</v>
      </c>
      <c r="C8" s="28" t="s">
        <v>259</v>
      </c>
      <c r="D8" s="32" t="s">
        <v>260</v>
      </c>
      <c r="E8" s="28" t="s">
        <v>261</v>
      </c>
      <c r="F8" t="s">
        <v>247</v>
      </c>
      <c r="G8" s="29">
        <v>11417</v>
      </c>
      <c r="H8" s="29">
        <v>90</v>
      </c>
      <c r="I8" s="29">
        <v>32850</v>
      </c>
      <c r="J8" s="30">
        <f t="shared" si="0"/>
        <v>0.34754946727549468</v>
      </c>
      <c r="K8">
        <v>11417</v>
      </c>
      <c r="L8">
        <v>90</v>
      </c>
      <c r="M8">
        <v>32850</v>
      </c>
      <c r="N8" s="30">
        <f t="shared" si="1"/>
        <v>0.34754946727549468</v>
      </c>
      <c r="O8" s="29">
        <f t="shared" si="2"/>
        <v>0</v>
      </c>
      <c r="P8" s="30">
        <f t="shared" si="3"/>
        <v>1</v>
      </c>
    </row>
    <row r="9" spans="1:17">
      <c r="A9" s="28" t="s">
        <v>242</v>
      </c>
      <c r="B9" t="s">
        <v>264</v>
      </c>
      <c r="C9" s="28" t="s">
        <v>265</v>
      </c>
      <c r="D9" t="s">
        <v>266</v>
      </c>
      <c r="E9" s="28" t="s">
        <v>267</v>
      </c>
      <c r="F9" t="s">
        <v>247</v>
      </c>
      <c r="G9" s="29">
        <v>13230</v>
      </c>
      <c r="H9" s="29">
        <v>60</v>
      </c>
      <c r="I9" s="29">
        <v>20520</v>
      </c>
      <c r="J9" s="30">
        <f t="shared" si="0"/>
        <v>0.64473684210526316</v>
      </c>
      <c r="K9">
        <v>13230</v>
      </c>
      <c r="L9">
        <v>60</v>
      </c>
      <c r="M9">
        <v>20520</v>
      </c>
      <c r="N9" s="30">
        <f t="shared" si="1"/>
        <v>0.64473684210526316</v>
      </c>
      <c r="O9" s="29">
        <f t="shared" si="2"/>
        <v>0</v>
      </c>
      <c r="P9" s="30">
        <f t="shared" si="3"/>
        <v>1</v>
      </c>
    </row>
    <row r="10" spans="1:17">
      <c r="A10" s="28" t="s">
        <v>242</v>
      </c>
      <c r="B10" t="s">
        <v>272</v>
      </c>
      <c r="C10" s="28" t="s">
        <v>273</v>
      </c>
      <c r="D10" t="s">
        <v>274</v>
      </c>
      <c r="E10" s="28" t="s">
        <v>275</v>
      </c>
      <c r="F10" t="s">
        <v>247</v>
      </c>
      <c r="G10" s="29">
        <v>20626</v>
      </c>
      <c r="H10" s="29">
        <v>120</v>
      </c>
      <c r="I10" s="29">
        <v>41880</v>
      </c>
      <c r="J10" s="30">
        <f t="shared" si="0"/>
        <v>0.4925023877745941</v>
      </c>
      <c r="K10">
        <v>20626</v>
      </c>
      <c r="L10">
        <v>120</v>
      </c>
      <c r="M10">
        <v>41880</v>
      </c>
      <c r="N10" s="30">
        <f t="shared" si="1"/>
        <v>0.4925023877745941</v>
      </c>
      <c r="O10" s="29">
        <f t="shared" si="2"/>
        <v>0</v>
      </c>
      <c r="P10" s="30">
        <f t="shared" si="3"/>
        <v>1</v>
      </c>
    </row>
    <row r="11" spans="1:17">
      <c r="G11">
        <f t="shared" ref="G11:I11" si="4">+SUM(G4:G10)</f>
        <v>70840</v>
      </c>
      <c r="H11">
        <f t="shared" si="4"/>
        <v>419</v>
      </c>
      <c r="I11">
        <f t="shared" si="4"/>
        <v>146965</v>
      </c>
      <c r="J11" s="31">
        <f t="shared" si="0"/>
        <v>0.48201952845915697</v>
      </c>
      <c r="K11">
        <v>75117</v>
      </c>
      <c r="L11">
        <v>455</v>
      </c>
      <c r="M11">
        <v>157975</v>
      </c>
      <c r="N11" s="31">
        <f t="shared" si="1"/>
        <v>0.47549928786200346</v>
      </c>
      <c r="O11">
        <f t="shared" ref="O11" si="5">+SUM(O4:O10)</f>
        <v>4277</v>
      </c>
      <c r="P11" s="30">
        <f t="shared" si="3"/>
        <v>0.94306215636939705</v>
      </c>
      <c r="Q11" t="s">
        <v>278</v>
      </c>
    </row>
    <row r="12" spans="1:17">
      <c r="D12" s="32" t="s">
        <v>280</v>
      </c>
      <c r="E12" s="32"/>
      <c r="F12" s="32"/>
      <c r="G12" s="32"/>
      <c r="H12" s="32"/>
      <c r="I12" s="32"/>
      <c r="J12" s="32"/>
      <c r="K12" s="32"/>
      <c r="L12" s="32"/>
      <c r="M12" s="32"/>
      <c r="N12" s="32"/>
      <c r="O12" s="32"/>
      <c r="P12" s="32"/>
    </row>
    <row r="13" spans="1:17" ht="14.25" customHeight="1">
      <c r="A13" s="28" t="s">
        <v>242</v>
      </c>
      <c r="B13" t="s">
        <v>258</v>
      </c>
      <c r="C13" s="28" t="s">
        <v>262</v>
      </c>
      <c r="D13" s="32" t="s">
        <v>129</v>
      </c>
      <c r="E13" s="28" t="s">
        <v>263</v>
      </c>
      <c r="F13" t="s">
        <v>247</v>
      </c>
      <c r="G13" s="29">
        <v>1216</v>
      </c>
      <c r="H13" s="29">
        <v>8</v>
      </c>
      <c r="I13" s="29">
        <v>2920</v>
      </c>
      <c r="J13" s="30">
        <f>IFERROR(G13/I13,"–")</f>
        <v>0.41643835616438357</v>
      </c>
      <c r="K13">
        <v>58798</v>
      </c>
      <c r="L13">
        <v>187</v>
      </c>
      <c r="M13">
        <v>68255</v>
      </c>
      <c r="N13" s="30">
        <f>IFERROR(K13/M13,"–")</f>
        <v>0.86144604790857815</v>
      </c>
      <c r="O13" s="29">
        <f>+K13-G13</f>
        <v>57582</v>
      </c>
      <c r="P13" s="30">
        <f>+G13/K13</f>
        <v>2.068097554338583E-2</v>
      </c>
      <c r="Q13" t="s">
        <v>276</v>
      </c>
    </row>
    <row r="14" spans="1:17">
      <c r="A14" s="28" t="s">
        <v>242</v>
      </c>
      <c r="B14" t="s">
        <v>268</v>
      </c>
      <c r="C14" s="28" t="s">
        <v>269</v>
      </c>
      <c r="D14" t="s">
        <v>270</v>
      </c>
      <c r="E14" s="28" t="s">
        <v>271</v>
      </c>
      <c r="F14" t="s">
        <v>247</v>
      </c>
      <c r="G14" s="29">
        <v>11102</v>
      </c>
      <c r="H14" s="29">
        <v>64</v>
      </c>
      <c r="I14" s="29">
        <v>21504</v>
      </c>
      <c r="J14" s="30">
        <f>IFERROR(G14/I14,"–")</f>
        <v>0.51627604166666663</v>
      </c>
      <c r="K14">
        <v>11102</v>
      </c>
      <c r="L14">
        <v>64</v>
      </c>
      <c r="M14">
        <v>21504</v>
      </c>
      <c r="N14" s="30">
        <f>IFERROR(K14/M14,"–")</f>
        <v>0.51627604166666663</v>
      </c>
      <c r="O14" s="29">
        <f>+K14-G14</f>
        <v>0</v>
      </c>
      <c r="P14" s="30">
        <f>+G14/K14</f>
        <v>1</v>
      </c>
      <c r="Q14" t="s">
        <v>277</v>
      </c>
    </row>
    <row r="21" spans="3:3">
      <c r="C21" s="32" t="s">
        <v>279</v>
      </c>
    </row>
  </sheetData>
  <mergeCells count="2">
    <mergeCell ref="F2:J2"/>
    <mergeCell ref="K2:N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3ED3C-353C-4F03-A1A0-5B279D654505}">
  <dimension ref="A1:AG13"/>
  <sheetViews>
    <sheetView topLeftCell="K1" workbookViewId="0">
      <selection activeCell="AE19" sqref="AE19"/>
    </sheetView>
  </sheetViews>
  <sheetFormatPr baseColWidth="10" defaultRowHeight="15"/>
  <cols>
    <col min="4" max="4" width="31.7109375" customWidth="1"/>
  </cols>
  <sheetData>
    <row r="1" spans="1:33">
      <c r="A1" s="20" t="s">
        <v>1</v>
      </c>
      <c r="B1" s="20" t="s">
        <v>2</v>
      </c>
      <c r="C1" s="20" t="s">
        <v>3</v>
      </c>
      <c r="D1" s="20" t="s">
        <v>4</v>
      </c>
      <c r="E1" s="20" t="s">
        <v>5</v>
      </c>
      <c r="F1" s="20" t="s">
        <v>6</v>
      </c>
      <c r="G1" s="20" t="s">
        <v>7</v>
      </c>
      <c r="H1" s="20" t="s">
        <v>8</v>
      </c>
      <c r="I1" s="20" t="s">
        <v>9</v>
      </c>
      <c r="J1" s="20" t="s">
        <v>10</v>
      </c>
      <c r="K1" s="20" t="s">
        <v>11</v>
      </c>
      <c r="L1" s="20" t="s">
        <v>12</v>
      </c>
      <c r="M1" s="20" t="s">
        <v>13</v>
      </c>
      <c r="N1" s="1" t="s">
        <v>14</v>
      </c>
      <c r="O1" s="1" t="s">
        <v>15</v>
      </c>
      <c r="P1" s="1" t="s">
        <v>16</v>
      </c>
      <c r="Q1" s="1" t="s">
        <v>17</v>
      </c>
      <c r="R1" s="1" t="s">
        <v>18</v>
      </c>
      <c r="S1" s="1" t="s">
        <v>19</v>
      </c>
      <c r="T1" s="1" t="s">
        <v>20</v>
      </c>
      <c r="U1" s="1" t="s">
        <v>21</v>
      </c>
      <c r="V1" s="42" t="s">
        <v>281</v>
      </c>
      <c r="W1" s="43" t="s">
        <v>282</v>
      </c>
      <c r="X1" s="43" t="s">
        <v>283</v>
      </c>
      <c r="Y1" s="43" t="s">
        <v>284</v>
      </c>
      <c r="Z1" s="43" t="s">
        <v>285</v>
      </c>
      <c r="AA1" s="43" t="s">
        <v>286</v>
      </c>
      <c r="AB1" s="43" t="s">
        <v>1543</v>
      </c>
      <c r="AC1" s="42" t="s">
        <v>293</v>
      </c>
      <c r="AD1" s="42" t="s">
        <v>294</v>
      </c>
      <c r="AE1" s="43" t="s">
        <v>287</v>
      </c>
      <c r="AF1" s="43" t="s">
        <v>288</v>
      </c>
      <c r="AG1" s="43" t="s">
        <v>289</v>
      </c>
    </row>
    <row r="2" spans="1:33">
      <c r="A2" s="1" t="s">
        <v>33</v>
      </c>
      <c r="B2" s="1" t="s">
        <v>34</v>
      </c>
      <c r="C2" s="19">
        <v>310780481</v>
      </c>
      <c r="D2" s="19" t="s">
        <v>85</v>
      </c>
      <c r="E2" s="19" t="s">
        <v>25</v>
      </c>
      <c r="F2" s="46">
        <v>12286</v>
      </c>
      <c r="G2" s="46">
        <v>8611</v>
      </c>
      <c r="H2" s="46">
        <v>3675</v>
      </c>
      <c r="I2" s="47">
        <v>0.40100000000000002</v>
      </c>
      <c r="J2" s="47">
        <v>15.29</v>
      </c>
      <c r="K2" s="47">
        <v>5.53</v>
      </c>
      <c r="L2" s="47">
        <v>3.86</v>
      </c>
      <c r="M2" s="47">
        <v>0.37</v>
      </c>
      <c r="N2" s="35">
        <v>31</v>
      </c>
      <c r="O2" s="35" t="s">
        <v>26</v>
      </c>
      <c r="P2" s="35">
        <v>60</v>
      </c>
      <c r="Q2" s="35">
        <v>20</v>
      </c>
      <c r="R2" s="37">
        <v>0.39319634703196349</v>
      </c>
      <c r="S2" s="37">
        <v>0.50342465753424659</v>
      </c>
      <c r="T2" s="38">
        <v>30.408219178082192</v>
      </c>
      <c r="U2" s="38">
        <v>8.9315068493150669</v>
      </c>
      <c r="V2" s="36">
        <v>60</v>
      </c>
      <c r="W2" s="36">
        <v>20</v>
      </c>
      <c r="X2" s="39">
        <v>0.49</v>
      </c>
      <c r="Y2" s="39">
        <v>0.61</v>
      </c>
      <c r="Z2" s="36">
        <f t="shared" ref="Z2:Z3" si="0">V2*(0.9-X2)</f>
        <v>24.6</v>
      </c>
      <c r="AA2" s="36">
        <f>W2*(0.95-Y2)</f>
        <v>6.7999999999999989</v>
      </c>
      <c r="AB2" s="36">
        <v>5048</v>
      </c>
      <c r="AC2" s="41">
        <f>AB2/(V2+0.5*W2)</f>
        <v>72.114285714285714</v>
      </c>
      <c r="AD2" s="41">
        <f>AC2/2</f>
        <v>36.057142857142857</v>
      </c>
      <c r="AE2" s="34">
        <f>Z2*AC2</f>
        <v>1774.0114285714287</v>
      </c>
      <c r="AF2" s="34">
        <f t="shared" ref="AF2:AF5" si="1">AA2*AD2</f>
        <v>245.18857142857138</v>
      </c>
      <c r="AG2" s="34">
        <f>AE2 + AF2</f>
        <v>2019.2</v>
      </c>
    </row>
    <row r="3" spans="1:33">
      <c r="A3" s="1" t="s">
        <v>33</v>
      </c>
      <c r="B3" s="1" t="s">
        <v>34</v>
      </c>
      <c r="C3" s="19">
        <v>480780543</v>
      </c>
      <c r="D3" s="19" t="s">
        <v>1524</v>
      </c>
      <c r="E3" s="19" t="s">
        <v>25</v>
      </c>
      <c r="F3" s="46">
        <v>11592</v>
      </c>
      <c r="G3" s="46">
        <v>11592</v>
      </c>
      <c r="H3" s="46">
        <v>0</v>
      </c>
      <c r="I3" s="47">
        <v>0.42199999999999999</v>
      </c>
      <c r="J3" s="47">
        <v>13.99</v>
      </c>
      <c r="K3" s="47">
        <v>6.68</v>
      </c>
      <c r="L3" s="47">
        <v>4.46</v>
      </c>
      <c r="M3" s="47">
        <v>1.35</v>
      </c>
      <c r="N3" s="35">
        <v>48</v>
      </c>
      <c r="O3" s="35" t="s">
        <v>26</v>
      </c>
      <c r="P3" s="35">
        <v>60</v>
      </c>
      <c r="Q3" s="35">
        <v>0</v>
      </c>
      <c r="R3" s="37">
        <v>0.52931506849315069</v>
      </c>
      <c r="S3" s="37" t="s">
        <v>28</v>
      </c>
      <c r="T3" s="38">
        <v>22.241095890410961</v>
      </c>
      <c r="U3" s="38">
        <v>0</v>
      </c>
      <c r="V3" s="36">
        <v>60</v>
      </c>
      <c r="W3" s="36">
        <v>0</v>
      </c>
      <c r="X3" s="39">
        <v>0.6</v>
      </c>
      <c r="Y3" s="39">
        <v>0</v>
      </c>
      <c r="Z3" s="36">
        <f t="shared" si="0"/>
        <v>18.000000000000004</v>
      </c>
      <c r="AA3" s="36">
        <f>W3*(0.95-Y3)</f>
        <v>0</v>
      </c>
      <c r="AB3" s="36">
        <v>3252</v>
      </c>
      <c r="AC3" s="41">
        <f>AB3/(V3+0.5*W3)</f>
        <v>54.2</v>
      </c>
      <c r="AD3" s="41">
        <f t="shared" ref="AD3:AD4" si="2">AC3/2</f>
        <v>27.1</v>
      </c>
      <c r="AE3" s="34">
        <f>Z3*AC3</f>
        <v>975.60000000000025</v>
      </c>
      <c r="AF3" s="34">
        <f t="shared" si="1"/>
        <v>0</v>
      </c>
      <c r="AG3" s="34">
        <f>AE3 + AF3</f>
        <v>975.60000000000025</v>
      </c>
    </row>
    <row r="4" spans="1:33">
      <c r="A4" s="1" t="s">
        <v>30</v>
      </c>
      <c r="B4" s="1" t="s">
        <v>34</v>
      </c>
      <c r="C4" s="19">
        <v>650007222</v>
      </c>
      <c r="D4" s="19" t="s">
        <v>164</v>
      </c>
      <c r="E4" s="19" t="s">
        <v>25</v>
      </c>
      <c r="F4" s="46">
        <v>8531</v>
      </c>
      <c r="G4" s="46">
        <v>8531</v>
      </c>
      <c r="H4" s="46">
        <v>0</v>
      </c>
      <c r="I4" s="47">
        <v>0.38500000000000001</v>
      </c>
      <c r="J4" s="47">
        <v>14</v>
      </c>
      <c r="K4" s="47">
        <v>5.57</v>
      </c>
      <c r="L4" s="47">
        <v>2.89</v>
      </c>
      <c r="M4" s="47">
        <v>2.37</v>
      </c>
      <c r="N4" s="35">
        <v>65</v>
      </c>
      <c r="O4" s="35" t="s">
        <v>26</v>
      </c>
      <c r="P4" s="35">
        <v>64</v>
      </c>
      <c r="Q4" s="35">
        <v>0</v>
      </c>
      <c r="R4" s="37" t="s">
        <v>28</v>
      </c>
      <c r="S4" s="37" t="s">
        <v>28</v>
      </c>
      <c r="T4" s="38">
        <v>0</v>
      </c>
      <c r="U4" s="38">
        <v>0</v>
      </c>
      <c r="V4" s="36">
        <v>64</v>
      </c>
      <c r="W4" s="36">
        <v>0</v>
      </c>
      <c r="X4" s="39"/>
      <c r="Y4" s="39"/>
      <c r="Z4" s="36">
        <f>V4*(0.9-X4)</f>
        <v>57.6</v>
      </c>
      <c r="AA4" s="36">
        <f>W4*(0.95-Y4)</f>
        <v>0</v>
      </c>
      <c r="AB4" s="233" t="s">
        <v>1544</v>
      </c>
      <c r="AC4" s="41">
        <v>0</v>
      </c>
      <c r="AD4" s="41">
        <f t="shared" si="2"/>
        <v>0</v>
      </c>
      <c r="AE4" s="34">
        <f>Z4*AC4</f>
        <v>0</v>
      </c>
      <c r="AF4" s="34">
        <f t="shared" si="1"/>
        <v>0</v>
      </c>
      <c r="AG4" s="34">
        <f>AE4 + AF4</f>
        <v>0</v>
      </c>
    </row>
    <row r="5" spans="1:33">
      <c r="A5" s="1" t="s">
        <v>33</v>
      </c>
      <c r="B5" s="1" t="s">
        <v>34</v>
      </c>
      <c r="C5" s="1">
        <v>590799730</v>
      </c>
      <c r="D5" s="1" t="s">
        <v>1545</v>
      </c>
      <c r="E5" s="1" t="s">
        <v>25</v>
      </c>
      <c r="F5" s="44">
        <f>F12+F13</f>
        <v>22512</v>
      </c>
      <c r="G5" s="44">
        <f t="shared" ref="G5:AB5" si="3">G12+G13</f>
        <v>18774</v>
      </c>
      <c r="H5" s="44">
        <f t="shared" si="3"/>
        <v>3738</v>
      </c>
      <c r="I5" s="44"/>
      <c r="J5" s="44"/>
      <c r="K5" s="44"/>
      <c r="L5" s="44"/>
      <c r="M5" s="44"/>
      <c r="N5" s="36">
        <v>66</v>
      </c>
      <c r="O5" s="36" t="s">
        <v>26</v>
      </c>
      <c r="P5" s="36">
        <f t="shared" si="3"/>
        <v>120</v>
      </c>
      <c r="Q5" s="36">
        <f t="shared" si="3"/>
        <v>22</v>
      </c>
      <c r="R5" s="234">
        <f>G4/P4/365</f>
        <v>0.36519691780821917</v>
      </c>
      <c r="S5" s="234">
        <f>H5/Q5/365</f>
        <v>0.46550435865504358</v>
      </c>
      <c r="T5" s="36">
        <f t="shared" si="3"/>
        <v>56.564383561643837</v>
      </c>
      <c r="U5" s="36">
        <f t="shared" si="3"/>
        <v>10.658904109589042</v>
      </c>
      <c r="V5" s="36">
        <f t="shared" si="3"/>
        <v>120</v>
      </c>
      <c r="W5" s="36">
        <f t="shared" si="3"/>
        <v>22</v>
      </c>
      <c r="X5" s="234">
        <f>R5</f>
        <v>0.36519691780821917</v>
      </c>
      <c r="Y5" s="234">
        <f>S5</f>
        <v>0.46550435865504358</v>
      </c>
      <c r="Z5" s="36">
        <f>V5*(0.9-X5)</f>
        <v>64.176369863013704</v>
      </c>
      <c r="AA5" s="36">
        <f>W5*(0.95-Y5)</f>
        <v>10.65890410958904</v>
      </c>
      <c r="AB5" s="36">
        <f t="shared" si="3"/>
        <v>11125</v>
      </c>
      <c r="AC5" s="41">
        <f t="shared" ref="AC5" si="4">AB5/(V5+0.5*W5)</f>
        <v>84.92366412213741</v>
      </c>
      <c r="AD5" s="40">
        <f>AC5/2</f>
        <v>42.461832061068705</v>
      </c>
      <c r="AE5" s="34">
        <f>Z5*AC5</f>
        <v>5450.0924788246375</v>
      </c>
      <c r="AF5" s="34">
        <f t="shared" si="1"/>
        <v>452.59659625640489</v>
      </c>
      <c r="AG5" s="34">
        <f>AE5 + AF5</f>
        <v>5902.6890750810426</v>
      </c>
    </row>
    <row r="6" spans="1:33">
      <c r="A6" s="1" t="s">
        <v>290</v>
      </c>
      <c r="B6" s="1"/>
      <c r="C6" s="1"/>
      <c r="D6" s="1"/>
      <c r="E6" s="1"/>
      <c r="F6" s="44"/>
      <c r="G6" s="44">
        <f>SUMIF(B2:B5, "Public", G2:G5)</f>
        <v>0</v>
      </c>
      <c r="H6" s="44">
        <f>SUMIF(B2:B5, "Public", H2:H5)</f>
        <v>0</v>
      </c>
      <c r="I6" s="45"/>
      <c r="J6" s="45"/>
      <c r="K6" s="45"/>
      <c r="L6" s="45"/>
      <c r="M6" s="45"/>
      <c r="N6" s="35"/>
      <c r="O6" s="35"/>
      <c r="P6" s="35">
        <f>SUMIF(B2:B5, "Public", P2:P5)</f>
        <v>0</v>
      </c>
      <c r="Q6" s="35">
        <f>SUMIF(B2:B5, "Public", Q2:Q5)</f>
        <v>0</v>
      </c>
      <c r="R6" s="37"/>
      <c r="S6" s="37"/>
      <c r="T6" s="51">
        <f>SUMIF(B2:B5, "Public", T2:T5)</f>
        <v>0</v>
      </c>
      <c r="U6" s="51">
        <f>SUMIF(B2:B5, "Public", U2:U5)</f>
        <v>0</v>
      </c>
      <c r="V6" s="36"/>
      <c r="W6" s="36"/>
      <c r="X6" s="39"/>
      <c r="Y6" s="39"/>
      <c r="Z6" s="36">
        <f>SUMIF(B2:B5, "Public", Z2:Z5)</f>
        <v>0</v>
      </c>
      <c r="AA6" s="36">
        <f>SUMIF(B2:B5, "Public", AA2:AA5)</f>
        <v>0</v>
      </c>
      <c r="AB6" s="36">
        <f>SUM(AB2:AB5)</f>
        <v>19425</v>
      </c>
      <c r="AC6" s="40"/>
      <c r="AD6" s="40"/>
      <c r="AE6" s="34">
        <f>SUMIF(B2:B5, "Public", AE2:AE5)</f>
        <v>0</v>
      </c>
      <c r="AF6" s="34">
        <f>SUMIF(B2:B5, "Public", AF2:AF5)</f>
        <v>0</v>
      </c>
      <c r="AG6" s="34">
        <f>SUMIF(B2:B5, "Public", AG2:AG5)</f>
        <v>0</v>
      </c>
    </row>
    <row r="7" spans="1:33">
      <c r="A7" s="1" t="s">
        <v>291</v>
      </c>
      <c r="G7">
        <f>SUMIF(B2:B5, "Privé non lucratif", G2:G5)</f>
        <v>47508</v>
      </c>
      <c r="H7">
        <f>SUMIF(B2:B5, "Privé non lucratif", H2:H5)</f>
        <v>7413</v>
      </c>
      <c r="N7" s="33"/>
      <c r="O7" s="33"/>
      <c r="P7" s="33">
        <f>SUMIF(B2:B5, "Privé non lucratif", P2:P5)</f>
        <v>304</v>
      </c>
      <c r="Q7" s="33">
        <f>SUMIF(B2:B5, "Privé non lucratif", Q2:Q5)</f>
        <v>42</v>
      </c>
      <c r="R7" s="33"/>
      <c r="S7" s="33"/>
      <c r="T7" s="34">
        <f>SUMIF(B2:B5, "Privé non lucratif", T2:T5)</f>
        <v>109.21369863013699</v>
      </c>
      <c r="U7" s="34">
        <f>SUMIF(B2:B5, "Privé non lucratif", U2:U5)</f>
        <v>19.590410958904108</v>
      </c>
      <c r="V7" s="33"/>
      <c r="W7" s="33"/>
      <c r="X7" s="33"/>
      <c r="Y7" s="33"/>
      <c r="Z7" s="34">
        <f>SUMIF(B2:B5, "Privé non lucratif", Z2:Z5)</f>
        <v>164.37636986301374</v>
      </c>
      <c r="AA7" s="34">
        <f>SUMIF(B2:B5, "Privé non lucratif", AA2:AA5)</f>
        <v>17.458904109589039</v>
      </c>
      <c r="AB7" s="34"/>
      <c r="AC7" s="34"/>
      <c r="AD7" s="34"/>
      <c r="AE7" s="34">
        <f>SUMIF(B2:B5, "Privé non lucratif", AE2:AE5)</f>
        <v>8199.7039073960659</v>
      </c>
      <c r="AF7" s="34">
        <f>SUMIF(B2:B5, "Privé non lucratif", AF2:AF5)</f>
        <v>697.78516768497627</v>
      </c>
      <c r="AG7" s="34">
        <f>SUMIF(B2:B5, "Privé non lucratif", AG2:AG5)</f>
        <v>8897.4890750810428</v>
      </c>
    </row>
    <row r="8" spans="1:33">
      <c r="A8" s="1" t="s">
        <v>1539</v>
      </c>
      <c r="G8">
        <f>SUMIF(B2:B5,"Privé",G2:G5)</f>
        <v>0</v>
      </c>
      <c r="H8">
        <f>SUMIF(B2:B5, "Privé", H2:H5)</f>
        <v>0</v>
      </c>
      <c r="N8" s="33"/>
      <c r="O8" s="33"/>
      <c r="P8" s="33">
        <f>SUMIF(B2:B5, "Privé", P2:P5)</f>
        <v>0</v>
      </c>
      <c r="Q8" s="33">
        <f>SUMIF(B2:B5, "Privé", Q2:Q5)</f>
        <v>0</v>
      </c>
      <c r="R8" s="33"/>
      <c r="S8" s="33"/>
      <c r="T8" s="34">
        <f>SUMIF(B2:B5, "Privé", T2:T5)</f>
        <v>0</v>
      </c>
      <c r="U8" s="34">
        <f>SUMIF(B2:B5, "Privé", U2:U5)</f>
        <v>0</v>
      </c>
      <c r="V8" s="33"/>
      <c r="W8" s="33"/>
      <c r="X8" s="33"/>
      <c r="Y8" s="33"/>
      <c r="Z8" s="34">
        <f>SUMIF(B2:B5, "Privé", Z2:Z5)</f>
        <v>0</v>
      </c>
      <c r="AA8" s="34">
        <f>SUMIF(B2:B5, "Privé", AA2:AA5)</f>
        <v>0</v>
      </c>
      <c r="AB8" s="34"/>
      <c r="AC8" s="34"/>
      <c r="AD8" s="34"/>
      <c r="AE8" s="34">
        <f>SUMIF(B2:B5, "Privé", AE2:AE5)</f>
        <v>0</v>
      </c>
      <c r="AF8" s="34">
        <f>SUMIF(B2:B5, "Privé", AF2:AF5)</f>
        <v>0</v>
      </c>
      <c r="AG8" s="34">
        <f>SUMIF(B2:B5, "Privé", AG2:AG5)</f>
        <v>0</v>
      </c>
    </row>
    <row r="9" spans="1:33">
      <c r="A9" s="1" t="s">
        <v>228</v>
      </c>
      <c r="G9" s="66">
        <f>G6+G7+G8</f>
        <v>47508</v>
      </c>
      <c r="H9" s="66">
        <f>H6+H7+H8</f>
        <v>7413</v>
      </c>
      <c r="N9" s="33"/>
      <c r="O9" s="33"/>
      <c r="P9" s="33">
        <f>P6+P7+P8</f>
        <v>304</v>
      </c>
      <c r="Q9" s="33">
        <f>Q6+Q7+Q8</f>
        <v>42</v>
      </c>
      <c r="R9" s="33"/>
      <c r="S9" s="33"/>
      <c r="T9" s="34">
        <f>T6+T7+T8</f>
        <v>109.21369863013699</v>
      </c>
      <c r="U9" s="34">
        <f>U6+U7+U8</f>
        <v>19.590410958904108</v>
      </c>
      <c r="V9" s="33"/>
      <c r="W9" s="33"/>
      <c r="X9" s="33"/>
      <c r="Y9" s="33"/>
      <c r="Z9" s="34">
        <f>SUM(Z2:Z5)</f>
        <v>164.37636986301374</v>
      </c>
      <c r="AA9" s="34">
        <f>SUM(AA2:AA5)</f>
        <v>17.458904109589039</v>
      </c>
      <c r="AB9" s="34"/>
      <c r="AC9" s="34"/>
      <c r="AD9" s="34"/>
      <c r="AE9" s="34">
        <f>SUM(AE2:AE5)</f>
        <v>8199.7039073960659</v>
      </c>
      <c r="AF9" s="34">
        <f>SUM(AF2:AF5)</f>
        <v>697.78516768497627</v>
      </c>
      <c r="AG9" s="34">
        <f>SUM(AG2:AG5)</f>
        <v>8897.4890750810428</v>
      </c>
    </row>
    <row r="12" spans="1:33">
      <c r="A12" s="1" t="s">
        <v>33</v>
      </c>
      <c r="B12" s="1" t="s">
        <v>34</v>
      </c>
      <c r="C12" s="19">
        <v>660010422</v>
      </c>
      <c r="D12" s="19" t="s">
        <v>174</v>
      </c>
      <c r="E12" s="19" t="s">
        <v>25</v>
      </c>
      <c r="F12" s="46">
        <v>3328</v>
      </c>
      <c r="G12" s="46">
        <v>0</v>
      </c>
      <c r="H12" s="46">
        <v>3328</v>
      </c>
      <c r="I12" s="47">
        <v>0.318</v>
      </c>
      <c r="J12" s="47">
        <v>12.5</v>
      </c>
      <c r="K12" s="47">
        <v>6.06</v>
      </c>
      <c r="L12" s="47">
        <v>3.75</v>
      </c>
      <c r="M12" s="47">
        <v>4.7300000000000004</v>
      </c>
      <c r="N12" s="35">
        <v>66</v>
      </c>
      <c r="O12" s="35" t="s">
        <v>26</v>
      </c>
      <c r="P12" s="35">
        <v>0</v>
      </c>
      <c r="Q12" s="35">
        <v>20</v>
      </c>
      <c r="R12" s="37" t="s">
        <v>28</v>
      </c>
      <c r="S12" s="37">
        <v>0.45589041095890409</v>
      </c>
      <c r="T12" s="38">
        <v>0</v>
      </c>
      <c r="U12" s="38">
        <v>9.882191780821918</v>
      </c>
      <c r="V12" s="36">
        <v>0</v>
      </c>
      <c r="W12" s="36">
        <v>20</v>
      </c>
      <c r="X12" s="39">
        <v>0</v>
      </c>
      <c r="Y12" s="39">
        <v>0.42</v>
      </c>
      <c r="Z12" s="36">
        <f>V12*(0.9-X12)</f>
        <v>0</v>
      </c>
      <c r="AA12" s="36">
        <f>W12*(0.95-Y12)</f>
        <v>10.600000000000001</v>
      </c>
      <c r="AB12" s="36"/>
      <c r="AC12" s="40"/>
      <c r="AD12" s="40"/>
      <c r="AE12" s="34"/>
      <c r="AF12" s="34"/>
      <c r="AG12" s="34"/>
    </row>
    <row r="13" spans="1:33">
      <c r="A13" s="1" t="s">
        <v>33</v>
      </c>
      <c r="B13" s="1" t="s">
        <v>34</v>
      </c>
      <c r="C13" s="1">
        <v>660780321</v>
      </c>
      <c r="D13" s="1" t="s">
        <v>180</v>
      </c>
      <c r="E13" s="1" t="s">
        <v>25</v>
      </c>
      <c r="F13" s="44">
        <v>19184</v>
      </c>
      <c r="G13" s="44">
        <v>18774</v>
      </c>
      <c r="H13" s="44">
        <v>410</v>
      </c>
      <c r="I13" s="45">
        <v>0.45400000000000001</v>
      </c>
      <c r="J13" s="45">
        <v>12.82</v>
      </c>
      <c r="K13" s="45">
        <v>7.02</v>
      </c>
      <c r="L13" s="45">
        <v>4.3</v>
      </c>
      <c r="M13" s="45">
        <v>7.17</v>
      </c>
      <c r="N13" s="35">
        <v>66</v>
      </c>
      <c r="O13" s="35" t="s">
        <v>26</v>
      </c>
      <c r="P13" s="35">
        <v>120</v>
      </c>
      <c r="Q13" s="35">
        <v>2</v>
      </c>
      <c r="R13" s="37">
        <v>0.42863013698630137</v>
      </c>
      <c r="S13" s="37">
        <v>0.56164383561643838</v>
      </c>
      <c r="T13" s="38">
        <v>56.564383561643837</v>
      </c>
      <c r="U13" s="38">
        <v>0.77671232876712315</v>
      </c>
      <c r="V13" s="36">
        <v>120</v>
      </c>
      <c r="W13" s="36">
        <v>2</v>
      </c>
      <c r="X13" s="39">
        <v>0.47</v>
      </c>
      <c r="Y13" s="39">
        <v>0.46</v>
      </c>
      <c r="Z13" s="36">
        <f>V13*(0.9-X13)</f>
        <v>51.600000000000009</v>
      </c>
      <c r="AA13" s="36">
        <f>W13*(0.95-Y13)</f>
        <v>0.97999999999999987</v>
      </c>
      <c r="AB13" s="36">
        <v>11125</v>
      </c>
      <c r="AC13" s="40"/>
      <c r="AD13" s="40"/>
      <c r="AE13" s="34"/>
      <c r="AF13" s="34"/>
      <c r="AG13" s="3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1C90-B227-40B4-AAD0-3F9D9A10D7E8}">
  <dimension ref="A1:V194"/>
  <sheetViews>
    <sheetView workbookViewId="0">
      <selection activeCell="E33" sqref="E33"/>
    </sheetView>
  </sheetViews>
  <sheetFormatPr baseColWidth="10" defaultRowHeight="15"/>
  <cols>
    <col min="5" max="5" width="52.42578125" customWidth="1"/>
  </cols>
  <sheetData>
    <row r="1" spans="1:22">
      <c r="A1" s="258" t="s">
        <v>316</v>
      </c>
      <c r="B1" s="258"/>
      <c r="C1" s="258"/>
      <c r="D1" s="258"/>
      <c r="E1" s="258"/>
      <c r="F1" s="258"/>
      <c r="G1" s="258"/>
    </row>
    <row r="2" spans="1:22">
      <c r="A2" t="s">
        <v>317</v>
      </c>
      <c r="B2" t="s">
        <v>318</v>
      </c>
      <c r="D2" t="s">
        <v>319</v>
      </c>
      <c r="E2" t="s">
        <v>320</v>
      </c>
      <c r="F2" t="s">
        <v>321</v>
      </c>
      <c r="G2" t="s">
        <v>322</v>
      </c>
      <c r="H2" t="s">
        <v>323</v>
      </c>
      <c r="I2" t="s">
        <v>324</v>
      </c>
      <c r="J2" t="s">
        <v>325</v>
      </c>
      <c r="K2" t="s">
        <v>326</v>
      </c>
      <c r="L2" t="s">
        <v>327</v>
      </c>
      <c r="M2" t="s">
        <v>328</v>
      </c>
      <c r="N2" t="s">
        <v>7</v>
      </c>
      <c r="P2" t="s">
        <v>8</v>
      </c>
      <c r="Q2" t="s">
        <v>329</v>
      </c>
      <c r="S2" t="s">
        <v>330</v>
      </c>
      <c r="V2" t="s">
        <v>505</v>
      </c>
    </row>
    <row r="3" spans="1:22">
      <c r="A3" t="s">
        <v>331</v>
      </c>
      <c r="B3">
        <v>2023</v>
      </c>
      <c r="C3">
        <v>9</v>
      </c>
      <c r="D3" s="62">
        <v>90000019</v>
      </c>
      <c r="E3" t="s">
        <v>332</v>
      </c>
      <c r="F3" t="s">
        <v>23</v>
      </c>
      <c r="G3">
        <v>90180019</v>
      </c>
      <c r="H3" t="s">
        <v>333</v>
      </c>
      <c r="I3" s="29" t="s">
        <v>28</v>
      </c>
      <c r="J3" s="29">
        <v>50</v>
      </c>
      <c r="K3" s="29">
        <v>16200</v>
      </c>
      <c r="L3" s="29">
        <v>8</v>
      </c>
      <c r="M3" s="29">
        <v>487</v>
      </c>
      <c r="N3" s="29">
        <v>13394</v>
      </c>
      <c r="O3" s="29"/>
      <c r="P3" s="29">
        <v>979</v>
      </c>
      <c r="Q3" s="29" t="s">
        <v>28</v>
      </c>
      <c r="S3" s="30">
        <v>0.73391780821917807</v>
      </c>
      <c r="T3" s="30">
        <v>0.82679012345679015</v>
      </c>
      <c r="U3">
        <f>+VLOOKUP(G3,basev2!$C$5:$Q$173,14,0)</f>
        <v>50</v>
      </c>
      <c r="V3" s="29">
        <f>+U3-J3</f>
        <v>0</v>
      </c>
    </row>
    <row r="4" spans="1:22">
      <c r="A4" t="s">
        <v>331</v>
      </c>
      <c r="B4">
        <v>2023</v>
      </c>
      <c r="C4">
        <v>9</v>
      </c>
      <c r="D4" s="62">
        <v>90000175</v>
      </c>
      <c r="E4" t="s">
        <v>334</v>
      </c>
      <c r="F4" t="s">
        <v>23</v>
      </c>
      <c r="G4">
        <v>90781774</v>
      </c>
      <c r="H4" t="s">
        <v>333</v>
      </c>
      <c r="I4" s="29" t="s">
        <v>28</v>
      </c>
      <c r="J4" s="29">
        <v>53</v>
      </c>
      <c r="K4" s="29">
        <v>19345</v>
      </c>
      <c r="L4" s="29"/>
      <c r="M4" s="29">
        <v>411</v>
      </c>
      <c r="N4" s="29">
        <v>19045</v>
      </c>
      <c r="O4" s="29"/>
      <c r="P4" s="29">
        <v>0</v>
      </c>
      <c r="Q4" s="29" t="s">
        <v>28</v>
      </c>
      <c r="S4" s="30">
        <v>0.9844921168260532</v>
      </c>
      <c r="T4" s="30">
        <v>0.9844921168260532</v>
      </c>
      <c r="U4">
        <f>+VLOOKUP(G4,basev2!$C$5:$Q$173,14,0)</f>
        <v>79</v>
      </c>
      <c r="V4" s="29">
        <f t="shared" ref="V4:V66" si="0">+U4-J4</f>
        <v>26</v>
      </c>
    </row>
    <row r="5" spans="1:22">
      <c r="A5" t="s">
        <v>331</v>
      </c>
      <c r="B5">
        <v>2023</v>
      </c>
      <c r="C5">
        <v>9</v>
      </c>
      <c r="D5" s="62">
        <v>90000183</v>
      </c>
      <c r="E5" t="s">
        <v>335</v>
      </c>
      <c r="F5" t="s">
        <v>23</v>
      </c>
      <c r="G5">
        <v>90781816</v>
      </c>
      <c r="H5" t="s">
        <v>333</v>
      </c>
      <c r="I5" s="29" t="s">
        <v>28</v>
      </c>
      <c r="J5" s="29">
        <v>57</v>
      </c>
      <c r="K5" s="29">
        <v>20805</v>
      </c>
      <c r="L5" s="29"/>
      <c r="M5" s="29">
        <v>564</v>
      </c>
      <c r="N5" s="29">
        <v>18735</v>
      </c>
      <c r="O5" s="29"/>
      <c r="P5" s="29">
        <v>0</v>
      </c>
      <c r="Q5" s="29" t="s">
        <v>28</v>
      </c>
      <c r="S5" s="30">
        <v>0.90050468637346792</v>
      </c>
      <c r="T5" s="30">
        <v>0.90050468637346792</v>
      </c>
      <c r="U5">
        <f>+VLOOKUP(G5,basev2!$C$5:$Q$173,14,0)</f>
        <v>57</v>
      </c>
      <c r="V5" s="29">
        <f t="shared" si="0"/>
        <v>0</v>
      </c>
    </row>
    <row r="6" spans="1:22">
      <c r="A6" t="s">
        <v>331</v>
      </c>
      <c r="B6">
        <v>2023</v>
      </c>
      <c r="C6">
        <v>9</v>
      </c>
      <c r="D6" s="62">
        <v>90001629</v>
      </c>
      <c r="E6" t="s">
        <v>336</v>
      </c>
      <c r="F6" t="s">
        <v>23</v>
      </c>
      <c r="G6">
        <v>90781774</v>
      </c>
      <c r="H6" t="s">
        <v>333</v>
      </c>
      <c r="I6" s="29" t="s">
        <v>28</v>
      </c>
      <c r="J6" s="29">
        <v>26</v>
      </c>
      <c r="K6" s="29">
        <v>8999</v>
      </c>
      <c r="L6" s="29"/>
      <c r="M6" s="29">
        <v>247</v>
      </c>
      <c r="N6" s="29">
        <v>8580</v>
      </c>
      <c r="O6" s="29"/>
      <c r="P6" s="29">
        <v>0</v>
      </c>
      <c r="Q6" s="29" t="s">
        <v>28</v>
      </c>
      <c r="S6" s="30">
        <v>0.90410958904109584</v>
      </c>
      <c r="T6" s="30">
        <v>0.9534392710301145</v>
      </c>
      <c r="U6">
        <f>+VLOOKUP(G6,basev2!$C$5:$Q$173,14,0)</f>
        <v>79</v>
      </c>
      <c r="V6" s="29">
        <f t="shared" si="0"/>
        <v>53</v>
      </c>
    </row>
    <row r="7" spans="1:22">
      <c r="A7" t="s">
        <v>331</v>
      </c>
      <c r="B7">
        <v>2023</v>
      </c>
      <c r="C7">
        <v>11</v>
      </c>
      <c r="D7" s="62">
        <v>110000049</v>
      </c>
      <c r="E7" t="s">
        <v>337</v>
      </c>
      <c r="F7" t="s">
        <v>23</v>
      </c>
      <c r="G7">
        <v>110780087</v>
      </c>
      <c r="H7" t="s">
        <v>333</v>
      </c>
      <c r="I7" s="29" t="s">
        <v>28</v>
      </c>
      <c r="J7" s="29">
        <v>25</v>
      </c>
      <c r="K7" s="29">
        <v>6026</v>
      </c>
      <c r="L7" s="29"/>
      <c r="M7" s="29">
        <v>233</v>
      </c>
      <c r="N7" s="29">
        <v>6026</v>
      </c>
      <c r="O7" s="29"/>
      <c r="P7" s="29">
        <v>0</v>
      </c>
      <c r="Q7" s="29" t="s">
        <v>28</v>
      </c>
      <c r="S7" s="30">
        <v>0.6603835616438356</v>
      </c>
      <c r="T7" s="30">
        <v>1</v>
      </c>
      <c r="U7">
        <f>+VLOOKUP(G7,basev2!$C$5:$Q$173,14,0)</f>
        <v>25</v>
      </c>
      <c r="V7" s="29">
        <f t="shared" si="0"/>
        <v>0</v>
      </c>
    </row>
    <row r="8" spans="1:22">
      <c r="A8" t="s">
        <v>331</v>
      </c>
      <c r="B8">
        <v>2023</v>
      </c>
      <c r="C8">
        <v>11</v>
      </c>
      <c r="D8" s="62">
        <v>110000189</v>
      </c>
      <c r="E8" t="s">
        <v>338</v>
      </c>
      <c r="F8" t="s">
        <v>23</v>
      </c>
      <c r="G8">
        <v>110780707</v>
      </c>
      <c r="H8" t="s">
        <v>333</v>
      </c>
      <c r="I8" s="29" t="s">
        <v>28</v>
      </c>
      <c r="J8" s="29">
        <v>29</v>
      </c>
      <c r="K8" s="29">
        <v>10585</v>
      </c>
      <c r="L8" s="29"/>
      <c r="M8" s="29">
        <v>372</v>
      </c>
      <c r="N8" s="29">
        <v>10663</v>
      </c>
      <c r="O8" s="29"/>
      <c r="P8" s="29">
        <v>0</v>
      </c>
      <c r="Q8" s="29" t="s">
        <v>28</v>
      </c>
      <c r="S8" s="30">
        <v>1.0073689182805858</v>
      </c>
      <c r="T8" s="30">
        <v>1.0073689182805858</v>
      </c>
      <c r="U8">
        <f>+VLOOKUP(G8,basev2!$C$5:$Q$173,14,0)</f>
        <v>44</v>
      </c>
      <c r="V8" s="29">
        <f t="shared" si="0"/>
        <v>15</v>
      </c>
    </row>
    <row r="9" spans="1:22">
      <c r="A9" t="s">
        <v>331</v>
      </c>
      <c r="B9">
        <v>2023</v>
      </c>
      <c r="C9">
        <v>11</v>
      </c>
      <c r="D9" s="62">
        <v>110000247</v>
      </c>
      <c r="E9" t="s">
        <v>339</v>
      </c>
      <c r="F9" t="s">
        <v>23</v>
      </c>
      <c r="G9">
        <v>110780772</v>
      </c>
      <c r="H9" t="s">
        <v>333</v>
      </c>
      <c r="I9" s="29" t="s">
        <v>28</v>
      </c>
      <c r="J9" s="29">
        <v>37</v>
      </c>
      <c r="K9" s="29">
        <v>13505</v>
      </c>
      <c r="L9" s="29"/>
      <c r="M9" s="29">
        <v>234</v>
      </c>
      <c r="N9" s="29">
        <v>12118</v>
      </c>
      <c r="O9" s="29"/>
      <c r="P9" s="29">
        <v>0</v>
      </c>
      <c r="Q9" s="29" t="s">
        <v>28</v>
      </c>
      <c r="S9" s="30">
        <v>0.89729729729729735</v>
      </c>
      <c r="T9" s="30">
        <v>0.89729729729729735</v>
      </c>
      <c r="U9">
        <f>+VLOOKUP(G9,basev2!$C$5:$Q$173,14,0)</f>
        <v>37</v>
      </c>
      <c r="V9" s="29">
        <f t="shared" si="0"/>
        <v>0</v>
      </c>
    </row>
    <row r="10" spans="1:22">
      <c r="A10" t="s">
        <v>331</v>
      </c>
      <c r="B10">
        <v>2023</v>
      </c>
      <c r="C10">
        <v>11</v>
      </c>
      <c r="D10" s="62">
        <v>110000262</v>
      </c>
      <c r="E10" t="s">
        <v>340</v>
      </c>
      <c r="F10" t="s">
        <v>23</v>
      </c>
      <c r="G10">
        <v>110781010</v>
      </c>
      <c r="H10" t="s">
        <v>333</v>
      </c>
      <c r="I10" s="29" t="s">
        <v>28</v>
      </c>
      <c r="J10" s="29">
        <v>40</v>
      </c>
      <c r="K10" s="29">
        <v>14600</v>
      </c>
      <c r="L10" s="29">
        <v>10</v>
      </c>
      <c r="M10" s="29">
        <v>278</v>
      </c>
      <c r="N10" s="29">
        <v>10298</v>
      </c>
      <c r="O10" s="29"/>
      <c r="P10" s="29">
        <v>3438</v>
      </c>
      <c r="Q10" s="29" t="s">
        <v>28</v>
      </c>
      <c r="S10" s="30">
        <v>0.70534246575342463</v>
      </c>
      <c r="T10" s="30">
        <v>0.70534246575342463</v>
      </c>
      <c r="U10">
        <f>+VLOOKUP(G10,basev2!$C$5:$Q$173,14,0)</f>
        <v>40</v>
      </c>
      <c r="V10" s="29">
        <f t="shared" si="0"/>
        <v>0</v>
      </c>
    </row>
    <row r="11" spans="1:22">
      <c r="A11" t="s">
        <v>331</v>
      </c>
      <c r="B11">
        <v>2023</v>
      </c>
      <c r="C11">
        <v>11</v>
      </c>
      <c r="D11" s="62">
        <v>110003118</v>
      </c>
      <c r="E11" t="s">
        <v>341</v>
      </c>
      <c r="F11" t="s">
        <v>342</v>
      </c>
      <c r="G11">
        <v>110007341</v>
      </c>
      <c r="H11" t="s">
        <v>333</v>
      </c>
      <c r="I11" s="29" t="s">
        <v>28</v>
      </c>
      <c r="J11" s="29">
        <v>74</v>
      </c>
      <c r="K11" s="29">
        <v>26645</v>
      </c>
      <c r="L11" s="29">
        <v>50</v>
      </c>
      <c r="M11" s="29">
        <v>844</v>
      </c>
      <c r="N11" s="29">
        <v>25732</v>
      </c>
      <c r="O11" s="29"/>
      <c r="P11" s="29">
        <v>16815</v>
      </c>
      <c r="Q11" s="29" t="s">
        <v>28</v>
      </c>
      <c r="S11" s="30">
        <v>0.9526841910403554</v>
      </c>
      <c r="T11" s="30">
        <v>0.9657346594107713</v>
      </c>
      <c r="U11">
        <f>+VLOOKUP(D11,basev2!$C$5:$Q$173,14,0)</f>
        <v>74</v>
      </c>
      <c r="V11" s="29">
        <f t="shared" si="0"/>
        <v>0</v>
      </c>
    </row>
    <row r="12" spans="1:22">
      <c r="A12" t="s">
        <v>331</v>
      </c>
      <c r="B12">
        <v>2023</v>
      </c>
      <c r="C12">
        <v>11</v>
      </c>
      <c r="D12" s="62">
        <v>110004942</v>
      </c>
      <c r="E12" t="s">
        <v>343</v>
      </c>
      <c r="F12" t="s">
        <v>342</v>
      </c>
      <c r="G12">
        <v>310021324</v>
      </c>
      <c r="H12" t="s">
        <v>333</v>
      </c>
      <c r="I12" s="29" t="s">
        <v>28</v>
      </c>
      <c r="J12" s="29">
        <v>77</v>
      </c>
      <c r="K12" s="29">
        <v>26958</v>
      </c>
      <c r="L12" s="29">
        <v>3</v>
      </c>
      <c r="M12" s="29">
        <v>825</v>
      </c>
      <c r="N12" s="29">
        <v>26842</v>
      </c>
      <c r="O12" s="29"/>
      <c r="P12" s="29">
        <v>5632</v>
      </c>
      <c r="Q12" s="29" t="s">
        <v>28</v>
      </c>
      <c r="S12" s="30">
        <v>0.95506137697918525</v>
      </c>
      <c r="T12" s="30">
        <v>0.99569701016395873</v>
      </c>
      <c r="U12">
        <f>+VLOOKUP(D12,basev2!$C$5:$Q$173,14,0)</f>
        <v>77</v>
      </c>
      <c r="V12" s="29">
        <f t="shared" si="0"/>
        <v>0</v>
      </c>
    </row>
    <row r="13" spans="1:22">
      <c r="A13" t="s">
        <v>331</v>
      </c>
      <c r="B13">
        <v>2023</v>
      </c>
      <c r="C13">
        <v>11</v>
      </c>
      <c r="D13" s="62">
        <v>110005246</v>
      </c>
      <c r="E13" t="s">
        <v>344</v>
      </c>
      <c r="F13" t="s">
        <v>23</v>
      </c>
      <c r="G13">
        <v>110780137</v>
      </c>
      <c r="H13" t="s">
        <v>333</v>
      </c>
      <c r="I13" s="29" t="s">
        <v>28</v>
      </c>
      <c r="J13" s="29">
        <v>30</v>
      </c>
      <c r="K13" s="29">
        <v>10950</v>
      </c>
      <c r="L13" s="29"/>
      <c r="M13" s="29">
        <v>293</v>
      </c>
      <c r="N13" s="29">
        <v>10425</v>
      </c>
      <c r="O13" s="29"/>
      <c r="P13" s="29">
        <v>0</v>
      </c>
      <c r="Q13" s="29" t="s">
        <v>28</v>
      </c>
      <c r="S13" s="30">
        <v>0.95205479452054798</v>
      </c>
      <c r="T13" s="30">
        <v>0.95205479452054798</v>
      </c>
      <c r="U13">
        <f>+VLOOKUP(G13,basev2!$C$5:$Q$173,14,0)</f>
        <v>30</v>
      </c>
      <c r="V13" s="29">
        <f t="shared" si="0"/>
        <v>0</v>
      </c>
    </row>
    <row r="14" spans="1:22">
      <c r="A14" t="s">
        <v>331</v>
      </c>
      <c r="B14">
        <v>2023</v>
      </c>
      <c r="C14">
        <v>11</v>
      </c>
      <c r="D14" s="62">
        <v>110007630</v>
      </c>
      <c r="E14" t="s">
        <v>345</v>
      </c>
      <c r="F14" t="s">
        <v>34</v>
      </c>
      <c r="G14">
        <v>110008810</v>
      </c>
      <c r="H14" t="s">
        <v>333</v>
      </c>
      <c r="I14" s="29" t="s">
        <v>28</v>
      </c>
      <c r="J14" s="29">
        <v>40</v>
      </c>
      <c r="K14" s="29">
        <v>14600</v>
      </c>
      <c r="L14" s="29">
        <v>10</v>
      </c>
      <c r="M14" s="29">
        <v>374</v>
      </c>
      <c r="N14" s="29">
        <v>12426</v>
      </c>
      <c r="O14" s="29"/>
      <c r="P14" s="29">
        <v>2444</v>
      </c>
      <c r="Q14" s="29" t="s">
        <v>28</v>
      </c>
      <c r="S14" s="30">
        <v>0.8510958904109589</v>
      </c>
      <c r="T14" s="30">
        <v>0.8510958904109589</v>
      </c>
      <c r="U14">
        <f>+VLOOKUP(D14,basev2!$C$5:$Q$173,14,0)</f>
        <v>40</v>
      </c>
      <c r="V14" s="29">
        <f t="shared" si="0"/>
        <v>0</v>
      </c>
    </row>
    <row r="15" spans="1:22">
      <c r="A15" t="s">
        <v>331</v>
      </c>
      <c r="B15">
        <v>2023</v>
      </c>
      <c r="C15">
        <v>11</v>
      </c>
      <c r="D15" s="62">
        <v>110780194</v>
      </c>
      <c r="E15" t="s">
        <v>346</v>
      </c>
      <c r="F15" t="s">
        <v>342</v>
      </c>
      <c r="G15">
        <v>330050899</v>
      </c>
      <c r="H15" t="s">
        <v>333</v>
      </c>
      <c r="I15" s="29" t="s">
        <v>28</v>
      </c>
      <c r="J15" s="29">
        <v>70</v>
      </c>
      <c r="K15" s="29">
        <v>25550</v>
      </c>
      <c r="L15" s="29"/>
      <c r="M15" s="29">
        <v>469</v>
      </c>
      <c r="N15" s="29">
        <v>24181</v>
      </c>
      <c r="O15" s="29"/>
      <c r="P15" s="29">
        <v>0</v>
      </c>
      <c r="Q15" s="29" t="s">
        <v>28</v>
      </c>
      <c r="S15" s="30">
        <v>0.94641878669275925</v>
      </c>
      <c r="T15" s="30">
        <v>0.94641878669275925</v>
      </c>
      <c r="U15">
        <f>+VLOOKUP(D15,basev2!$C$5:$Q$173,14,0)</f>
        <v>70</v>
      </c>
      <c r="V15" s="29">
        <f t="shared" si="0"/>
        <v>0</v>
      </c>
    </row>
    <row r="16" spans="1:22">
      <c r="A16" t="s">
        <v>331</v>
      </c>
      <c r="B16">
        <v>2023</v>
      </c>
      <c r="C16">
        <v>11</v>
      </c>
      <c r="D16" s="62">
        <v>110780202</v>
      </c>
      <c r="E16" t="s">
        <v>347</v>
      </c>
      <c r="F16" t="s">
        <v>342</v>
      </c>
      <c r="G16">
        <v>310021316</v>
      </c>
      <c r="H16" t="s">
        <v>333</v>
      </c>
      <c r="I16" s="29" t="s">
        <v>28</v>
      </c>
      <c r="J16" s="29">
        <v>87</v>
      </c>
      <c r="K16" s="29">
        <v>31842</v>
      </c>
      <c r="L16" s="29">
        <v>10</v>
      </c>
      <c r="M16" s="29">
        <v>865</v>
      </c>
      <c r="N16" s="29">
        <v>31455</v>
      </c>
      <c r="O16" s="29"/>
      <c r="P16" s="29">
        <v>4660</v>
      </c>
      <c r="Q16" s="29" t="s">
        <v>28</v>
      </c>
      <c r="S16" s="30">
        <v>0.99055266887104398</v>
      </c>
      <c r="T16" s="30">
        <v>0.98784624081401917</v>
      </c>
      <c r="U16">
        <f>+VLOOKUP(D16,basev2!$C$5:$Q$173,14,0)</f>
        <v>87</v>
      </c>
      <c r="V16" s="29">
        <f t="shared" si="0"/>
        <v>0</v>
      </c>
    </row>
    <row r="17" spans="1:22">
      <c r="A17" t="s">
        <v>331</v>
      </c>
      <c r="B17">
        <v>2023</v>
      </c>
      <c r="C17">
        <v>11</v>
      </c>
      <c r="D17" s="62">
        <v>110780228</v>
      </c>
      <c r="E17" t="s">
        <v>348</v>
      </c>
      <c r="F17" t="s">
        <v>342</v>
      </c>
      <c r="G17">
        <v>110000114</v>
      </c>
      <c r="H17" t="s">
        <v>333</v>
      </c>
      <c r="I17" s="29" t="s">
        <v>28</v>
      </c>
      <c r="J17" s="29">
        <v>34</v>
      </c>
      <c r="K17" s="29">
        <v>12410</v>
      </c>
      <c r="L17" s="29">
        <v>40</v>
      </c>
      <c r="M17" s="29">
        <v>381</v>
      </c>
      <c r="N17" s="29">
        <v>11205</v>
      </c>
      <c r="O17" s="29"/>
      <c r="P17" s="29">
        <v>9226</v>
      </c>
      <c r="Q17" s="29" t="s">
        <v>28</v>
      </c>
      <c r="S17" s="30">
        <v>0.90290088638194999</v>
      </c>
      <c r="T17" s="30">
        <v>0.90290088638194999</v>
      </c>
      <c r="U17">
        <f>+VLOOKUP(D17,basev2!$C$5:$Q$173,14,0)</f>
        <v>34</v>
      </c>
      <c r="V17" s="29">
        <f t="shared" si="0"/>
        <v>0</v>
      </c>
    </row>
    <row r="18" spans="1:22">
      <c r="A18" t="s">
        <v>331</v>
      </c>
      <c r="B18">
        <v>2023</v>
      </c>
      <c r="C18">
        <v>11</v>
      </c>
      <c r="D18" s="62">
        <v>110780236</v>
      </c>
      <c r="E18" t="s">
        <v>349</v>
      </c>
      <c r="F18" t="s">
        <v>23</v>
      </c>
      <c r="G18">
        <v>110780707</v>
      </c>
      <c r="H18" t="s">
        <v>333</v>
      </c>
      <c r="I18" s="29" t="s">
        <v>28</v>
      </c>
      <c r="J18" s="29">
        <v>15</v>
      </c>
      <c r="K18" s="29">
        <v>5475</v>
      </c>
      <c r="L18" s="29"/>
      <c r="M18" s="29">
        <v>149</v>
      </c>
      <c r="N18" s="29">
        <v>4369</v>
      </c>
      <c r="O18" s="29"/>
      <c r="P18" s="29">
        <v>0</v>
      </c>
      <c r="Q18" s="29" t="s">
        <v>28</v>
      </c>
      <c r="S18" s="30">
        <v>0.79799086757990867</v>
      </c>
      <c r="T18" s="30">
        <v>0.79799086757990867</v>
      </c>
      <c r="U18">
        <f>+VLOOKUP(G18,basev2!$C$5:$Q$173,14,0)</f>
        <v>44</v>
      </c>
      <c r="V18" s="29">
        <f t="shared" si="0"/>
        <v>29</v>
      </c>
    </row>
    <row r="19" spans="1:22">
      <c r="A19" t="s">
        <v>331</v>
      </c>
      <c r="B19">
        <v>2023</v>
      </c>
      <c r="C19">
        <v>11</v>
      </c>
      <c r="D19" s="62">
        <v>110786746</v>
      </c>
      <c r="E19" t="s">
        <v>350</v>
      </c>
      <c r="F19" t="s">
        <v>34</v>
      </c>
      <c r="G19">
        <v>110786324</v>
      </c>
      <c r="H19" t="s">
        <v>333</v>
      </c>
      <c r="I19" s="29" t="s">
        <v>28</v>
      </c>
      <c r="J19" s="29">
        <v>44</v>
      </c>
      <c r="K19" s="29">
        <v>16060</v>
      </c>
      <c r="L19" s="29">
        <v>6</v>
      </c>
      <c r="M19" s="29">
        <v>361</v>
      </c>
      <c r="N19" s="29">
        <v>14631</v>
      </c>
      <c r="O19" s="29"/>
      <c r="P19" s="29">
        <v>899</v>
      </c>
      <c r="Q19" s="29" t="s">
        <v>28</v>
      </c>
      <c r="S19" s="30">
        <v>0.91102117061021171</v>
      </c>
      <c r="T19" s="30">
        <v>0.91102117061021171</v>
      </c>
      <c r="U19">
        <f>+VLOOKUP(G19,basev2!$C$5:$Q$173,14,0)</f>
        <v>44</v>
      </c>
      <c r="V19" s="29">
        <f t="shared" si="0"/>
        <v>0</v>
      </c>
    </row>
    <row r="20" spans="1:22">
      <c r="A20" t="s">
        <v>331</v>
      </c>
      <c r="B20">
        <v>2023</v>
      </c>
      <c r="C20">
        <v>12</v>
      </c>
      <c r="D20" s="62">
        <v>120000070</v>
      </c>
      <c r="E20" t="s">
        <v>351</v>
      </c>
      <c r="F20" t="s">
        <v>23</v>
      </c>
      <c r="G20">
        <v>120780085</v>
      </c>
      <c r="H20" t="s">
        <v>333</v>
      </c>
      <c r="I20" s="29" t="s">
        <v>28</v>
      </c>
      <c r="J20" s="29">
        <v>21</v>
      </c>
      <c r="K20" s="29">
        <v>7665</v>
      </c>
      <c r="L20" s="29"/>
      <c r="M20" s="29">
        <v>212</v>
      </c>
      <c r="N20" s="29">
        <v>6631</v>
      </c>
      <c r="O20" s="29"/>
      <c r="P20" s="29">
        <v>0</v>
      </c>
      <c r="Q20" s="29" t="s">
        <v>28</v>
      </c>
      <c r="S20" s="30">
        <v>0.86510110893672543</v>
      </c>
      <c r="T20" s="30">
        <v>0.86510110893672543</v>
      </c>
      <c r="U20">
        <f>+VLOOKUP(G20,basev2!$C$5:$Q$173,14,0)</f>
        <v>21</v>
      </c>
      <c r="V20" s="29">
        <f t="shared" si="0"/>
        <v>0</v>
      </c>
    </row>
    <row r="21" spans="1:22">
      <c r="A21" t="s">
        <v>331</v>
      </c>
      <c r="B21">
        <v>2023</v>
      </c>
      <c r="C21">
        <v>12</v>
      </c>
      <c r="D21" s="62">
        <v>120000088</v>
      </c>
      <c r="E21" t="s">
        <v>352</v>
      </c>
      <c r="F21" t="s">
        <v>23</v>
      </c>
      <c r="G21">
        <v>120780093</v>
      </c>
      <c r="H21" t="s">
        <v>333</v>
      </c>
      <c r="I21" s="29" t="s">
        <v>28</v>
      </c>
      <c r="J21" s="29">
        <v>24</v>
      </c>
      <c r="K21" s="29">
        <v>8740</v>
      </c>
      <c r="L21" s="29"/>
      <c r="M21" s="29">
        <v>187</v>
      </c>
      <c r="N21" s="29">
        <v>6090</v>
      </c>
      <c r="O21" s="29"/>
      <c r="P21" s="29">
        <v>0</v>
      </c>
      <c r="Q21" s="29" t="s">
        <v>28</v>
      </c>
      <c r="S21" s="30">
        <v>0.6952054794520548</v>
      </c>
      <c r="T21" s="30">
        <v>0.69679633867276891</v>
      </c>
      <c r="U21">
        <f>+VLOOKUP(G21,basev2!$C$5:$Q$173,14,0)</f>
        <v>24</v>
      </c>
      <c r="V21" s="29">
        <f t="shared" si="0"/>
        <v>0</v>
      </c>
    </row>
    <row r="22" spans="1:22">
      <c r="A22" t="s">
        <v>331</v>
      </c>
      <c r="B22">
        <v>2023</v>
      </c>
      <c r="C22">
        <v>12</v>
      </c>
      <c r="D22" s="62">
        <v>120000096</v>
      </c>
      <c r="E22" t="s">
        <v>353</v>
      </c>
      <c r="F22" t="s">
        <v>23</v>
      </c>
      <c r="G22">
        <v>120780101</v>
      </c>
      <c r="H22" t="s">
        <v>333</v>
      </c>
      <c r="I22" s="29" t="s">
        <v>28</v>
      </c>
      <c r="J22" s="29">
        <v>85</v>
      </c>
      <c r="K22" s="29">
        <v>31025</v>
      </c>
      <c r="L22" s="29">
        <v>10</v>
      </c>
      <c r="M22" s="29">
        <v>653</v>
      </c>
      <c r="N22" s="29">
        <v>24020</v>
      </c>
      <c r="O22" s="29"/>
      <c r="P22" s="29">
        <v>1976</v>
      </c>
      <c r="Q22" s="29" t="s">
        <v>28</v>
      </c>
      <c r="S22" s="30">
        <v>0.77421434327155525</v>
      </c>
      <c r="T22" s="30">
        <v>0.77421434327155525</v>
      </c>
      <c r="U22">
        <f>+VLOOKUP(G22,basev2!$C$5:$Q$173,14,0)</f>
        <v>85</v>
      </c>
      <c r="V22" s="29">
        <f t="shared" si="0"/>
        <v>0</v>
      </c>
    </row>
    <row r="23" spans="1:22">
      <c r="A23" t="s">
        <v>331</v>
      </c>
      <c r="B23">
        <v>2023</v>
      </c>
      <c r="C23">
        <v>12</v>
      </c>
      <c r="D23" s="62">
        <v>120000153</v>
      </c>
      <c r="E23" t="s">
        <v>354</v>
      </c>
      <c r="F23" t="s">
        <v>23</v>
      </c>
      <c r="G23">
        <v>120780291</v>
      </c>
      <c r="H23" t="s">
        <v>333</v>
      </c>
      <c r="I23" s="29" t="s">
        <v>28</v>
      </c>
      <c r="J23" s="29">
        <v>41</v>
      </c>
      <c r="K23" s="29">
        <v>14965</v>
      </c>
      <c r="L23" s="29"/>
      <c r="M23" s="29">
        <v>252</v>
      </c>
      <c r="N23" s="29">
        <v>7107</v>
      </c>
      <c r="O23" s="29"/>
      <c r="P23" s="29">
        <v>0</v>
      </c>
      <c r="Q23" s="29" t="s">
        <v>28</v>
      </c>
      <c r="S23" s="30">
        <v>0.47490811894420315</v>
      </c>
      <c r="T23" s="30">
        <v>0.47490811894420315</v>
      </c>
      <c r="U23">
        <f>+VLOOKUP(G23,basev2!$C$5:$Q$173,14,0)</f>
        <v>41</v>
      </c>
      <c r="V23" s="29">
        <f t="shared" si="0"/>
        <v>0</v>
      </c>
    </row>
    <row r="24" spans="1:22">
      <c r="A24" t="s">
        <v>331</v>
      </c>
      <c r="B24">
        <v>2023</v>
      </c>
      <c r="C24">
        <v>12</v>
      </c>
      <c r="D24" s="62">
        <v>120000237</v>
      </c>
      <c r="E24" t="s">
        <v>355</v>
      </c>
      <c r="F24" t="s">
        <v>23</v>
      </c>
      <c r="G24">
        <v>120780481</v>
      </c>
      <c r="H24" t="s">
        <v>333</v>
      </c>
      <c r="I24" s="29" t="s">
        <v>28</v>
      </c>
      <c r="J24" s="29">
        <v>34</v>
      </c>
      <c r="K24" s="29">
        <v>10930</v>
      </c>
      <c r="L24" s="29"/>
      <c r="M24" s="29">
        <v>300</v>
      </c>
      <c r="N24" s="29">
        <v>8906</v>
      </c>
      <c r="O24" s="29"/>
      <c r="P24" s="29">
        <v>0</v>
      </c>
      <c r="Q24" s="29" t="s">
        <v>28</v>
      </c>
      <c r="S24" s="30">
        <v>0.71764705882352942</v>
      </c>
      <c r="T24" s="30">
        <v>0.81482159194876491</v>
      </c>
      <c r="U24">
        <f>+VLOOKUP(G24,basev2!$C$5:$Q$173,14,0)</f>
        <v>34</v>
      </c>
      <c r="V24" s="29">
        <f t="shared" si="0"/>
        <v>0</v>
      </c>
    </row>
    <row r="25" spans="1:22">
      <c r="A25" t="s">
        <v>331</v>
      </c>
      <c r="B25">
        <v>2023</v>
      </c>
      <c r="C25">
        <v>12</v>
      </c>
      <c r="D25" s="62">
        <v>120004668</v>
      </c>
      <c r="E25" t="s">
        <v>356</v>
      </c>
      <c r="F25" t="s">
        <v>23</v>
      </c>
      <c r="G25">
        <v>120004619</v>
      </c>
      <c r="H25" t="s">
        <v>333</v>
      </c>
      <c r="I25" s="29" t="s">
        <v>28</v>
      </c>
      <c r="J25" s="29">
        <v>30</v>
      </c>
      <c r="K25" s="29">
        <v>6770</v>
      </c>
      <c r="L25" s="29"/>
      <c r="M25" s="29">
        <v>282</v>
      </c>
      <c r="N25" s="29">
        <v>5345</v>
      </c>
      <c r="O25" s="29"/>
      <c r="P25" s="29">
        <v>0</v>
      </c>
      <c r="Q25" s="29" t="s">
        <v>28</v>
      </c>
      <c r="S25" s="30">
        <v>0.48812785388127855</v>
      </c>
      <c r="T25" s="30">
        <v>0.78951255539143284</v>
      </c>
      <c r="U25">
        <f>+VLOOKUP(G25,basev2!$C$5:$Q$173,14,0)</f>
        <v>30</v>
      </c>
      <c r="V25" s="29">
        <f t="shared" si="0"/>
        <v>0</v>
      </c>
    </row>
    <row r="26" spans="1:22">
      <c r="A26" t="s">
        <v>331</v>
      </c>
      <c r="B26">
        <v>2023</v>
      </c>
      <c r="C26">
        <v>12</v>
      </c>
      <c r="D26" s="62">
        <v>120007554</v>
      </c>
      <c r="E26" t="s">
        <v>357</v>
      </c>
      <c r="F26" t="s">
        <v>23</v>
      </c>
      <c r="G26">
        <v>120004528</v>
      </c>
      <c r="H26" t="s">
        <v>333</v>
      </c>
      <c r="I26" s="29" t="s">
        <v>28</v>
      </c>
      <c r="J26" s="29">
        <v>30</v>
      </c>
      <c r="K26" s="29">
        <v>7850</v>
      </c>
      <c r="L26" s="29"/>
      <c r="M26" s="29">
        <v>221</v>
      </c>
      <c r="N26" s="29">
        <v>7044</v>
      </c>
      <c r="O26" s="29"/>
      <c r="P26" s="29">
        <v>0</v>
      </c>
      <c r="Q26" s="29" t="s">
        <v>28</v>
      </c>
      <c r="S26" s="30">
        <v>0.64328767123287667</v>
      </c>
      <c r="T26" s="30">
        <v>0.89732484076433117</v>
      </c>
      <c r="U26">
        <f>+VLOOKUP(G26,basev2!$C$5:$Q$173,14,0)</f>
        <v>30</v>
      </c>
      <c r="V26" s="29">
        <f t="shared" si="0"/>
        <v>0</v>
      </c>
    </row>
    <row r="27" spans="1:22">
      <c r="A27" t="s">
        <v>331</v>
      </c>
      <c r="B27">
        <v>2023</v>
      </c>
      <c r="C27">
        <v>12</v>
      </c>
      <c r="D27" s="62">
        <v>120008248</v>
      </c>
      <c r="E27" t="s">
        <v>358</v>
      </c>
      <c r="F27" t="s">
        <v>23</v>
      </c>
      <c r="G27">
        <v>120780069</v>
      </c>
      <c r="H27" t="s">
        <v>333</v>
      </c>
      <c r="I27" s="29" t="s">
        <v>28</v>
      </c>
      <c r="J27" s="29">
        <v>29</v>
      </c>
      <c r="K27" s="29">
        <v>10930</v>
      </c>
      <c r="L27" s="29"/>
      <c r="M27" s="29">
        <v>302</v>
      </c>
      <c r="N27" s="29">
        <v>8219</v>
      </c>
      <c r="O27" s="29"/>
      <c r="P27" s="29">
        <v>0</v>
      </c>
      <c r="Q27" s="29" t="s">
        <v>28</v>
      </c>
      <c r="S27" s="30">
        <v>0.77647614548889943</v>
      </c>
      <c r="T27" s="30">
        <v>0.75196706312900274</v>
      </c>
      <c r="U27">
        <f>+VLOOKUP(G27,basev2!$C$5:$Q$173,14,0)</f>
        <v>29</v>
      </c>
      <c r="V27" s="29">
        <f t="shared" si="0"/>
        <v>0</v>
      </c>
    </row>
    <row r="28" spans="1:22">
      <c r="A28" t="s">
        <v>331</v>
      </c>
      <c r="B28">
        <v>2023</v>
      </c>
      <c r="C28">
        <v>12</v>
      </c>
      <c r="D28" s="62">
        <v>120780135</v>
      </c>
      <c r="E28" t="s">
        <v>359</v>
      </c>
      <c r="F28" t="s">
        <v>34</v>
      </c>
      <c r="G28">
        <v>120000104</v>
      </c>
      <c r="H28" t="s">
        <v>333</v>
      </c>
      <c r="I28" s="29" t="s">
        <v>28</v>
      </c>
      <c r="J28" s="29">
        <v>74</v>
      </c>
      <c r="K28" s="29">
        <v>27010</v>
      </c>
      <c r="L28" s="29"/>
      <c r="M28" s="29">
        <v>741</v>
      </c>
      <c r="N28" s="29">
        <v>26071</v>
      </c>
      <c r="O28" s="29"/>
      <c r="P28" s="29">
        <v>0</v>
      </c>
      <c r="Q28" s="29" t="s">
        <v>28</v>
      </c>
      <c r="S28" s="30">
        <v>0.96523509811181041</v>
      </c>
      <c r="T28" s="30">
        <v>0.96523509811181041</v>
      </c>
      <c r="U28">
        <f>+VLOOKUP(D28,basev2!$C$5:$Q$173,14,0)</f>
        <v>74</v>
      </c>
      <c r="V28" s="29">
        <f t="shared" si="0"/>
        <v>0</v>
      </c>
    </row>
    <row r="29" spans="1:22">
      <c r="A29" t="s">
        <v>331</v>
      </c>
      <c r="B29">
        <v>2023</v>
      </c>
      <c r="C29">
        <v>12</v>
      </c>
      <c r="D29" s="62">
        <v>120780143</v>
      </c>
      <c r="E29" t="s">
        <v>360</v>
      </c>
      <c r="F29" t="s">
        <v>34</v>
      </c>
      <c r="G29">
        <v>120000112</v>
      </c>
      <c r="H29" t="s">
        <v>333</v>
      </c>
      <c r="I29" s="29" t="s">
        <v>28</v>
      </c>
      <c r="J29" s="29">
        <v>108</v>
      </c>
      <c r="K29" s="29">
        <v>39420</v>
      </c>
      <c r="L29" s="29">
        <v>10</v>
      </c>
      <c r="M29" s="29">
        <v>1163</v>
      </c>
      <c r="N29" s="29">
        <v>31605</v>
      </c>
      <c r="O29" s="29"/>
      <c r="P29" s="29">
        <v>2267</v>
      </c>
      <c r="Q29" s="29" t="s">
        <v>28</v>
      </c>
      <c r="S29" s="30">
        <v>0.8017503805175038</v>
      </c>
      <c r="T29" s="30">
        <v>0.8017503805175038</v>
      </c>
      <c r="U29">
        <f>+VLOOKUP(D29,basev2!$C$5:$Q$173,14,0)</f>
        <v>108</v>
      </c>
      <c r="V29" s="29">
        <f t="shared" si="0"/>
        <v>0</v>
      </c>
    </row>
    <row r="30" spans="1:22">
      <c r="A30" t="s">
        <v>331</v>
      </c>
      <c r="B30">
        <v>2023</v>
      </c>
      <c r="C30">
        <v>12</v>
      </c>
      <c r="D30" s="62">
        <v>120783188</v>
      </c>
      <c r="E30" t="s">
        <v>361</v>
      </c>
      <c r="F30" t="s">
        <v>23</v>
      </c>
      <c r="G30">
        <v>120780044</v>
      </c>
      <c r="H30" t="s">
        <v>333</v>
      </c>
      <c r="I30" s="29" t="s">
        <v>28</v>
      </c>
      <c r="J30" s="29">
        <v>40</v>
      </c>
      <c r="K30" s="29">
        <v>14600</v>
      </c>
      <c r="L30" s="29"/>
      <c r="M30" s="29">
        <v>280</v>
      </c>
      <c r="N30" s="29">
        <v>7546</v>
      </c>
      <c r="O30" s="29"/>
      <c r="P30" s="29">
        <v>0</v>
      </c>
      <c r="Q30" s="29" t="s">
        <v>28</v>
      </c>
      <c r="S30" s="30">
        <v>0.51684931506849319</v>
      </c>
      <c r="T30" s="30">
        <v>0.51684931506849319</v>
      </c>
      <c r="U30">
        <f>+VLOOKUP(G30,basev2!$C$5:$Q$173,14,0)</f>
        <v>40</v>
      </c>
      <c r="V30" s="29">
        <f t="shared" si="0"/>
        <v>0</v>
      </c>
    </row>
    <row r="31" spans="1:22">
      <c r="A31" t="s">
        <v>331</v>
      </c>
      <c r="B31">
        <v>2023</v>
      </c>
      <c r="C31">
        <v>30</v>
      </c>
      <c r="D31" s="62">
        <v>300000023</v>
      </c>
      <c r="E31" t="s">
        <v>362</v>
      </c>
      <c r="F31" t="s">
        <v>23</v>
      </c>
      <c r="G31">
        <v>300780046</v>
      </c>
      <c r="H31" t="s">
        <v>333</v>
      </c>
      <c r="I31" s="29" t="s">
        <v>28</v>
      </c>
      <c r="J31" s="29">
        <v>35</v>
      </c>
      <c r="K31" s="29">
        <v>10606</v>
      </c>
      <c r="L31" s="29">
        <v>10</v>
      </c>
      <c r="M31" s="29">
        <v>404</v>
      </c>
      <c r="N31" s="29">
        <v>9341</v>
      </c>
      <c r="O31" s="29"/>
      <c r="P31" s="29">
        <v>3210</v>
      </c>
      <c r="Q31" s="29" t="s">
        <v>28</v>
      </c>
      <c r="S31" s="30">
        <v>0.73119373776908025</v>
      </c>
      <c r="T31" s="30">
        <v>0.88072788987365647</v>
      </c>
      <c r="U31">
        <f>+VLOOKUP(G31,basev2!$C$5:$Q$173,14,0)</f>
        <v>35</v>
      </c>
      <c r="V31" s="29">
        <f t="shared" si="0"/>
        <v>0</v>
      </c>
    </row>
    <row r="32" spans="1:22">
      <c r="A32" t="s">
        <v>331</v>
      </c>
      <c r="B32">
        <v>2023</v>
      </c>
      <c r="C32">
        <v>30</v>
      </c>
      <c r="D32" s="62">
        <v>300000049</v>
      </c>
      <c r="E32" t="s">
        <v>363</v>
      </c>
      <c r="F32" t="s">
        <v>23</v>
      </c>
      <c r="G32">
        <v>130028228</v>
      </c>
      <c r="H32" t="s">
        <v>333</v>
      </c>
      <c r="I32" s="29" t="s">
        <v>28</v>
      </c>
      <c r="J32" s="29">
        <v>22</v>
      </c>
      <c r="K32" s="29">
        <v>8030</v>
      </c>
      <c r="L32" s="29"/>
      <c r="M32" s="29">
        <v>194</v>
      </c>
      <c r="N32" s="29">
        <v>7323</v>
      </c>
      <c r="O32" s="29"/>
      <c r="P32" s="29">
        <v>0</v>
      </c>
      <c r="Q32" s="29" t="s">
        <v>28</v>
      </c>
      <c r="S32" s="30">
        <v>0.91195516811955168</v>
      </c>
      <c r="T32" s="30">
        <v>0.91195516811955168</v>
      </c>
      <c r="U32" t="e">
        <f>+VLOOKUP(D32,basev2!$C$5:$Q$173,14,0)</f>
        <v>#N/A</v>
      </c>
      <c r="V32" s="29" t="e">
        <f t="shared" si="0"/>
        <v>#N/A</v>
      </c>
    </row>
    <row r="33" spans="1:22">
      <c r="A33" t="s">
        <v>331</v>
      </c>
      <c r="B33">
        <v>2023</v>
      </c>
      <c r="C33">
        <v>30</v>
      </c>
      <c r="D33" s="62">
        <v>300000056</v>
      </c>
      <c r="E33" t="s">
        <v>364</v>
      </c>
      <c r="F33" t="s">
        <v>23</v>
      </c>
      <c r="G33">
        <v>300780079</v>
      </c>
      <c r="H33" t="s">
        <v>333</v>
      </c>
      <c r="I33" s="29" t="s">
        <v>28</v>
      </c>
      <c r="J33" s="29">
        <v>50</v>
      </c>
      <c r="K33" s="29">
        <v>18250</v>
      </c>
      <c r="L33" s="29">
        <v>4</v>
      </c>
      <c r="M33" s="29">
        <v>546</v>
      </c>
      <c r="N33" s="29">
        <v>15243</v>
      </c>
      <c r="O33" s="29"/>
      <c r="P33" s="29">
        <v>217</v>
      </c>
      <c r="Q33" s="29" t="s">
        <v>28</v>
      </c>
      <c r="S33" s="30">
        <v>0.83523287671232882</v>
      </c>
      <c r="T33" s="30">
        <v>0.83523287671232882</v>
      </c>
      <c r="U33">
        <f>+VLOOKUP(G33,basev2!$C$5:$Q$173,14,0)</f>
        <v>50</v>
      </c>
      <c r="V33" s="29">
        <f t="shared" si="0"/>
        <v>0</v>
      </c>
    </row>
    <row r="34" spans="1:22">
      <c r="A34" t="s">
        <v>331</v>
      </c>
      <c r="B34">
        <v>2023</v>
      </c>
      <c r="C34">
        <v>30</v>
      </c>
      <c r="D34" s="62">
        <v>300000064</v>
      </c>
      <c r="E34" t="s">
        <v>365</v>
      </c>
      <c r="F34" t="s">
        <v>23</v>
      </c>
      <c r="G34">
        <v>300780087</v>
      </c>
      <c r="H34" t="s">
        <v>333</v>
      </c>
      <c r="I34" s="29" t="s">
        <v>28</v>
      </c>
      <c r="J34" s="29">
        <v>44</v>
      </c>
      <c r="K34" s="29">
        <v>16060</v>
      </c>
      <c r="L34" s="29"/>
      <c r="M34" s="29">
        <v>438</v>
      </c>
      <c r="N34" s="29">
        <v>14659</v>
      </c>
      <c r="O34" s="29"/>
      <c r="P34" s="29">
        <v>0</v>
      </c>
      <c r="Q34" s="29" t="s">
        <v>28</v>
      </c>
      <c r="S34" s="30">
        <v>0.91276463262764629</v>
      </c>
      <c r="T34" s="30">
        <v>0.91276463262764629</v>
      </c>
      <c r="U34">
        <f>+VLOOKUP(G34,basev2!$C$5:$Q$173,14,0)</f>
        <v>44</v>
      </c>
      <c r="V34" s="29">
        <f t="shared" si="0"/>
        <v>0</v>
      </c>
    </row>
    <row r="35" spans="1:22">
      <c r="A35" t="s">
        <v>331</v>
      </c>
      <c r="B35">
        <v>2023</v>
      </c>
      <c r="C35">
        <v>30</v>
      </c>
      <c r="D35" s="62">
        <v>300000072</v>
      </c>
      <c r="E35" t="s">
        <v>366</v>
      </c>
      <c r="F35" t="s">
        <v>23</v>
      </c>
      <c r="G35">
        <v>300780095</v>
      </c>
      <c r="H35" t="s">
        <v>333</v>
      </c>
      <c r="I35" s="29" t="s">
        <v>28</v>
      </c>
      <c r="J35" s="29">
        <v>14</v>
      </c>
      <c r="K35" s="29">
        <v>5110</v>
      </c>
      <c r="L35" s="29">
        <v>10</v>
      </c>
      <c r="M35" s="29">
        <v>243</v>
      </c>
      <c r="N35" s="29">
        <v>5270</v>
      </c>
      <c r="O35" s="29"/>
      <c r="P35" s="29">
        <v>1734</v>
      </c>
      <c r="Q35" s="29" t="s">
        <v>28</v>
      </c>
      <c r="S35" s="30">
        <v>1.0313111545988258</v>
      </c>
      <c r="T35" s="30">
        <v>1.0313111545988258</v>
      </c>
      <c r="U35">
        <f>+VLOOKUP(G35,basev2!$C$5:$Q$173,14,0)</f>
        <v>14</v>
      </c>
      <c r="V35" s="29">
        <f t="shared" si="0"/>
        <v>0</v>
      </c>
    </row>
    <row r="36" spans="1:22">
      <c r="A36" t="s">
        <v>331</v>
      </c>
      <c r="B36">
        <v>2023</v>
      </c>
      <c r="C36">
        <v>30</v>
      </c>
      <c r="D36" s="62">
        <v>300000478</v>
      </c>
      <c r="E36" t="s">
        <v>367</v>
      </c>
      <c r="F36" t="s">
        <v>23</v>
      </c>
      <c r="G36">
        <v>300781010</v>
      </c>
      <c r="H36" t="s">
        <v>333</v>
      </c>
      <c r="I36" s="29" t="s">
        <v>28</v>
      </c>
      <c r="J36" s="29">
        <v>34</v>
      </c>
      <c r="K36" s="29">
        <v>12410</v>
      </c>
      <c r="L36" s="29"/>
      <c r="M36" s="29">
        <v>214</v>
      </c>
      <c r="N36" s="29">
        <v>5688</v>
      </c>
      <c r="O36" s="29"/>
      <c r="P36" s="29" t="s">
        <v>28</v>
      </c>
      <c r="Q36" s="29" t="s">
        <v>28</v>
      </c>
      <c r="S36" s="30">
        <v>0.45834004834810638</v>
      </c>
      <c r="T36" s="30">
        <v>0.45834004834810638</v>
      </c>
      <c r="U36">
        <f>+VLOOKUP(G36,basev2!$C$5:$Q$173,14,0)</f>
        <v>34</v>
      </c>
      <c r="V36" s="29">
        <f t="shared" si="0"/>
        <v>0</v>
      </c>
    </row>
    <row r="37" spans="1:22">
      <c r="A37" t="s">
        <v>331</v>
      </c>
      <c r="B37">
        <v>2023</v>
      </c>
      <c r="C37">
        <v>30</v>
      </c>
      <c r="D37" s="62">
        <v>300002169</v>
      </c>
      <c r="E37" t="s">
        <v>368</v>
      </c>
      <c r="F37" t="s">
        <v>34</v>
      </c>
      <c r="G37">
        <v>780020715</v>
      </c>
      <c r="H37" t="s">
        <v>333</v>
      </c>
      <c r="I37" s="29" t="s">
        <v>28</v>
      </c>
      <c r="J37" s="29">
        <v>35</v>
      </c>
      <c r="K37" s="29">
        <v>12775</v>
      </c>
      <c r="L37" s="29">
        <v>6</v>
      </c>
      <c r="M37" s="29">
        <v>345</v>
      </c>
      <c r="N37" s="29">
        <v>11971</v>
      </c>
      <c r="O37" s="29"/>
      <c r="P37" s="29">
        <v>996</v>
      </c>
      <c r="Q37" s="29" t="s">
        <v>28</v>
      </c>
      <c r="S37" s="30">
        <v>0.93706457925636011</v>
      </c>
      <c r="T37" s="30">
        <v>0.93706457925636011</v>
      </c>
      <c r="U37">
        <f>+VLOOKUP(D37,basev2!$C$5:$Q$173,14,0)</f>
        <v>35</v>
      </c>
      <c r="V37" s="29">
        <f t="shared" si="0"/>
        <v>0</v>
      </c>
    </row>
    <row r="38" spans="1:22">
      <c r="A38" t="s">
        <v>331</v>
      </c>
      <c r="B38">
        <v>2023</v>
      </c>
      <c r="C38">
        <v>30</v>
      </c>
      <c r="D38" s="62">
        <v>300012358</v>
      </c>
      <c r="E38" t="s">
        <v>369</v>
      </c>
      <c r="F38" t="s">
        <v>34</v>
      </c>
      <c r="G38">
        <v>340015171</v>
      </c>
      <c r="H38" t="s">
        <v>333</v>
      </c>
      <c r="I38" s="29" t="s">
        <v>28</v>
      </c>
      <c r="J38" s="29">
        <v>82</v>
      </c>
      <c r="K38" s="29">
        <v>29930</v>
      </c>
      <c r="L38" s="29">
        <v>0</v>
      </c>
      <c r="M38" s="29">
        <v>1049</v>
      </c>
      <c r="N38" s="29">
        <v>26111</v>
      </c>
      <c r="O38" s="29"/>
      <c r="P38" s="29">
        <v>0</v>
      </c>
      <c r="Q38" s="29" t="s">
        <v>28</v>
      </c>
      <c r="S38" s="30">
        <v>0.87240227196792519</v>
      </c>
      <c r="T38" s="30">
        <v>0.87240227196792519</v>
      </c>
      <c r="U38">
        <f>+VLOOKUP(D38,basev2!$C$5:$Q$173,14,0)</f>
        <v>82</v>
      </c>
      <c r="V38" s="29">
        <f t="shared" si="0"/>
        <v>0</v>
      </c>
    </row>
    <row r="39" spans="1:22">
      <c r="A39" t="s">
        <v>331</v>
      </c>
      <c r="B39">
        <v>2023</v>
      </c>
      <c r="C39">
        <v>30</v>
      </c>
      <c r="D39" s="62">
        <v>300014040</v>
      </c>
      <c r="E39" t="s">
        <v>370</v>
      </c>
      <c r="F39" t="s">
        <v>342</v>
      </c>
      <c r="G39">
        <v>300014024</v>
      </c>
      <c r="H39" t="s">
        <v>333</v>
      </c>
      <c r="I39" s="29" t="s">
        <v>28</v>
      </c>
      <c r="J39" s="29">
        <v>50</v>
      </c>
      <c r="K39" s="29">
        <v>17995</v>
      </c>
      <c r="L39" s="29">
        <v>25</v>
      </c>
      <c r="M39" s="29">
        <v>471</v>
      </c>
      <c r="N39" s="29">
        <v>15429</v>
      </c>
      <c r="O39" s="29"/>
      <c r="P39" s="29">
        <v>6708</v>
      </c>
      <c r="Q39" s="29" t="s">
        <v>28</v>
      </c>
      <c r="S39" s="30">
        <v>0.84542465753424656</v>
      </c>
      <c r="T39" s="30">
        <v>0.85740483467629902</v>
      </c>
      <c r="U39" t="e">
        <f>+VLOOKUP(D39,basev2!$C$5:$Q$173,14,0)</f>
        <v>#N/A</v>
      </c>
      <c r="V39" s="29" t="e">
        <f t="shared" si="0"/>
        <v>#N/A</v>
      </c>
    </row>
    <row r="40" spans="1:22">
      <c r="A40" t="s">
        <v>331</v>
      </c>
      <c r="B40">
        <v>2023</v>
      </c>
      <c r="C40">
        <v>30</v>
      </c>
      <c r="D40" s="62">
        <v>300017423</v>
      </c>
      <c r="E40" t="s">
        <v>371</v>
      </c>
      <c r="F40" t="s">
        <v>34</v>
      </c>
      <c r="G40">
        <v>380804542</v>
      </c>
      <c r="H40" t="s">
        <v>333</v>
      </c>
      <c r="I40" s="29" t="s">
        <v>28</v>
      </c>
      <c r="J40" s="29">
        <v>60</v>
      </c>
      <c r="K40" s="29">
        <v>21900</v>
      </c>
      <c r="L40" s="29">
        <v>10</v>
      </c>
      <c r="M40" s="29">
        <v>375</v>
      </c>
      <c r="N40" s="29">
        <v>16066</v>
      </c>
      <c r="O40" s="29"/>
      <c r="P40" s="29">
        <v>1954</v>
      </c>
      <c r="Q40" s="29" t="s">
        <v>28</v>
      </c>
      <c r="S40" s="30">
        <v>0.73360730593607304</v>
      </c>
      <c r="T40" s="30">
        <v>0.73360730593607304</v>
      </c>
      <c r="U40">
        <f>+VLOOKUP(D40,basev2!$C$5:$Q$173,14,0)</f>
        <v>60</v>
      </c>
      <c r="V40" s="29">
        <f t="shared" si="0"/>
        <v>0</v>
      </c>
    </row>
    <row r="41" spans="1:22">
      <c r="A41" t="s">
        <v>331</v>
      </c>
      <c r="B41">
        <v>2023</v>
      </c>
      <c r="C41">
        <v>30</v>
      </c>
      <c r="D41" s="62">
        <v>300780111</v>
      </c>
      <c r="E41" t="s">
        <v>372</v>
      </c>
      <c r="F41" t="s">
        <v>34</v>
      </c>
      <c r="G41">
        <v>750050759</v>
      </c>
      <c r="H41" t="s">
        <v>333</v>
      </c>
      <c r="I41" s="29" t="s">
        <v>28</v>
      </c>
      <c r="J41" s="29">
        <v>60</v>
      </c>
      <c r="K41" s="29">
        <v>21900</v>
      </c>
      <c r="L41" s="29"/>
      <c r="M41" s="29">
        <v>519</v>
      </c>
      <c r="N41" s="29">
        <v>20598</v>
      </c>
      <c r="O41" s="29"/>
      <c r="P41" s="29">
        <v>0</v>
      </c>
      <c r="Q41" s="29" t="s">
        <v>28</v>
      </c>
      <c r="S41" s="30">
        <v>0.94054794520547946</v>
      </c>
      <c r="T41" s="30">
        <v>0.94054794520547946</v>
      </c>
      <c r="U41">
        <f>+VLOOKUP(D41,basev2!$C$5:$Q$173,14,0)</f>
        <v>60</v>
      </c>
      <c r="V41" s="29">
        <f t="shared" si="0"/>
        <v>0</v>
      </c>
    </row>
    <row r="42" spans="1:22">
      <c r="A42" t="s">
        <v>331</v>
      </c>
      <c r="B42">
        <v>2023</v>
      </c>
      <c r="C42">
        <v>30</v>
      </c>
      <c r="D42" s="62">
        <v>300780285</v>
      </c>
      <c r="E42" t="s">
        <v>373</v>
      </c>
      <c r="F42" t="s">
        <v>342</v>
      </c>
      <c r="G42">
        <v>300000726</v>
      </c>
      <c r="H42" t="s">
        <v>333</v>
      </c>
      <c r="I42" s="29" t="s">
        <v>28</v>
      </c>
      <c r="J42" s="29">
        <v>75</v>
      </c>
      <c r="K42" s="29">
        <v>32595</v>
      </c>
      <c r="L42" s="29">
        <v>22</v>
      </c>
      <c r="M42" s="29">
        <v>855</v>
      </c>
      <c r="N42" s="29">
        <v>29231</v>
      </c>
      <c r="O42" s="29"/>
      <c r="P42" s="29">
        <v>16377</v>
      </c>
      <c r="Q42" s="29" t="s">
        <v>28</v>
      </c>
      <c r="S42" s="30">
        <v>1.067799086757991</v>
      </c>
      <c r="T42" s="30">
        <v>0.89679398680779265</v>
      </c>
      <c r="U42">
        <f>+VLOOKUP(D42,basev2!$C$5:$Q$173,14,0)</f>
        <v>75</v>
      </c>
      <c r="V42" s="29">
        <f t="shared" si="0"/>
        <v>0</v>
      </c>
    </row>
    <row r="43" spans="1:22">
      <c r="A43" t="s">
        <v>331</v>
      </c>
      <c r="B43">
        <v>2023</v>
      </c>
      <c r="C43">
        <v>30</v>
      </c>
      <c r="D43" s="62">
        <v>300780442</v>
      </c>
      <c r="E43" t="s">
        <v>374</v>
      </c>
      <c r="F43" t="s">
        <v>342</v>
      </c>
      <c r="G43">
        <v>300017464</v>
      </c>
      <c r="H43" t="s">
        <v>333</v>
      </c>
      <c r="I43" s="29" t="s">
        <v>28</v>
      </c>
      <c r="J43" s="29">
        <v>59</v>
      </c>
      <c r="K43" s="29">
        <v>21535</v>
      </c>
      <c r="L43" s="29"/>
      <c r="M43" s="29">
        <v>560</v>
      </c>
      <c r="N43" s="29">
        <v>19404</v>
      </c>
      <c r="O43" s="29"/>
      <c r="P43" s="29">
        <v>0</v>
      </c>
      <c r="Q43" s="29" t="s">
        <v>28</v>
      </c>
      <c r="S43" s="30">
        <v>0.90104481077316001</v>
      </c>
      <c r="T43" s="30">
        <v>0.90104481077316001</v>
      </c>
      <c r="U43">
        <f>+VLOOKUP(D43,basev2!$C$5:$Q$173,14,0)</f>
        <v>59</v>
      </c>
      <c r="V43" s="29">
        <f t="shared" si="0"/>
        <v>0</v>
      </c>
    </row>
    <row r="44" spans="1:22">
      <c r="A44" t="s">
        <v>331</v>
      </c>
      <c r="B44">
        <v>2023</v>
      </c>
      <c r="C44">
        <v>30</v>
      </c>
      <c r="D44" s="62">
        <v>300780491</v>
      </c>
      <c r="E44" t="s">
        <v>375</v>
      </c>
      <c r="F44" t="s">
        <v>342</v>
      </c>
      <c r="G44">
        <v>340016963</v>
      </c>
      <c r="H44" t="s">
        <v>333</v>
      </c>
      <c r="I44" s="29" t="s">
        <v>28</v>
      </c>
      <c r="J44" s="29">
        <v>75</v>
      </c>
      <c r="K44" s="29">
        <v>27375</v>
      </c>
      <c r="L44" s="29">
        <v>30</v>
      </c>
      <c r="M44" s="29">
        <v>899</v>
      </c>
      <c r="N44" s="29">
        <v>25714</v>
      </c>
      <c r="O44" s="29"/>
      <c r="P44" s="29">
        <v>9371</v>
      </c>
      <c r="Q44" s="29" t="s">
        <v>28</v>
      </c>
      <c r="S44" s="30">
        <v>0.93932420091324198</v>
      </c>
      <c r="T44" s="30">
        <v>0.93932420091324198</v>
      </c>
      <c r="U44">
        <f>+VLOOKUP(D44,basev2!$C$5:$Q$173,14,0)</f>
        <v>75</v>
      </c>
      <c r="V44" s="29">
        <f t="shared" si="0"/>
        <v>0</v>
      </c>
    </row>
    <row r="45" spans="1:22">
      <c r="A45" t="s">
        <v>331</v>
      </c>
      <c r="B45">
        <v>2023</v>
      </c>
      <c r="C45">
        <v>30</v>
      </c>
      <c r="D45" s="62">
        <v>300781440</v>
      </c>
      <c r="E45" t="s">
        <v>376</v>
      </c>
      <c r="F45" t="s">
        <v>342</v>
      </c>
      <c r="G45">
        <v>300000700</v>
      </c>
      <c r="H45" t="s">
        <v>333</v>
      </c>
      <c r="I45" s="29" t="s">
        <v>28</v>
      </c>
      <c r="J45" s="29">
        <v>63</v>
      </c>
      <c r="K45" s="29">
        <v>22995</v>
      </c>
      <c r="L45" s="29"/>
      <c r="M45" s="29">
        <v>378</v>
      </c>
      <c r="N45" s="29">
        <v>14369</v>
      </c>
      <c r="O45" s="29"/>
      <c r="P45" s="29">
        <v>0</v>
      </c>
      <c r="Q45" s="29" t="s">
        <v>28</v>
      </c>
      <c r="S45" s="30">
        <v>0.62487497282017834</v>
      </c>
      <c r="T45" s="30">
        <v>0.62487497282017834</v>
      </c>
      <c r="U45">
        <f>+VLOOKUP(D45,basev2!$C$5:$Q$173,14,0)</f>
        <v>63</v>
      </c>
      <c r="V45" s="29">
        <f t="shared" si="0"/>
        <v>0</v>
      </c>
    </row>
    <row r="46" spans="1:22">
      <c r="A46" t="s">
        <v>331</v>
      </c>
      <c r="B46">
        <v>2023</v>
      </c>
      <c r="C46">
        <v>30</v>
      </c>
      <c r="D46" s="62">
        <v>300782117</v>
      </c>
      <c r="E46" t="s">
        <v>377</v>
      </c>
      <c r="F46" t="s">
        <v>23</v>
      </c>
      <c r="G46">
        <v>300780038</v>
      </c>
      <c r="H46" t="s">
        <v>333</v>
      </c>
      <c r="I46" s="29" t="s">
        <v>28</v>
      </c>
      <c r="J46" s="29">
        <v>114</v>
      </c>
      <c r="K46" s="29">
        <v>30660</v>
      </c>
      <c r="L46" s="29">
        <v>63</v>
      </c>
      <c r="M46" s="29">
        <v>929</v>
      </c>
      <c r="N46" s="29">
        <v>30099</v>
      </c>
      <c r="O46" s="29"/>
      <c r="P46" s="29">
        <v>13075</v>
      </c>
      <c r="Q46" s="29" t="s">
        <v>28</v>
      </c>
      <c r="S46" s="30">
        <v>0.72335976928622925</v>
      </c>
      <c r="T46" s="30">
        <v>0.98170254403131119</v>
      </c>
      <c r="U46">
        <f>+VLOOKUP(G46,basev2!$C$5:$Q$173,14,0)</f>
        <v>335</v>
      </c>
      <c r="V46" s="29">
        <f t="shared" si="0"/>
        <v>221</v>
      </c>
    </row>
    <row r="47" spans="1:22">
      <c r="A47" t="s">
        <v>331</v>
      </c>
      <c r="B47">
        <v>2023</v>
      </c>
      <c r="C47">
        <v>30</v>
      </c>
      <c r="D47" s="62">
        <v>300782125</v>
      </c>
      <c r="E47" t="s">
        <v>378</v>
      </c>
      <c r="F47" t="s">
        <v>23</v>
      </c>
      <c r="G47">
        <v>300780038</v>
      </c>
      <c r="H47" t="s">
        <v>333</v>
      </c>
      <c r="I47" s="29" t="s">
        <v>28</v>
      </c>
      <c r="J47" s="29">
        <v>41</v>
      </c>
      <c r="K47" s="29">
        <v>14965</v>
      </c>
      <c r="L47" s="29"/>
      <c r="M47" s="29">
        <v>320</v>
      </c>
      <c r="N47" s="29">
        <v>9194</v>
      </c>
      <c r="O47" s="29"/>
      <c r="P47" s="29">
        <v>0</v>
      </c>
      <c r="Q47" s="29" t="s">
        <v>28</v>
      </c>
      <c r="S47" s="30">
        <v>0.6143668559973271</v>
      </c>
      <c r="T47" s="30">
        <v>0.6143668559973271</v>
      </c>
      <c r="U47">
        <f>+VLOOKUP(G47,basev2!$C$5:$Q$173,14,0)</f>
        <v>335</v>
      </c>
      <c r="V47" s="29">
        <f t="shared" si="0"/>
        <v>294</v>
      </c>
    </row>
    <row r="48" spans="1:22">
      <c r="A48" t="s">
        <v>331</v>
      </c>
      <c r="B48">
        <v>2023</v>
      </c>
      <c r="C48">
        <v>30</v>
      </c>
      <c r="D48" s="62">
        <v>300782141</v>
      </c>
      <c r="E48" t="s">
        <v>379</v>
      </c>
      <c r="F48" t="s">
        <v>23</v>
      </c>
      <c r="G48">
        <v>300780038</v>
      </c>
      <c r="H48" t="s">
        <v>333</v>
      </c>
      <c r="I48" s="29" t="s">
        <v>28</v>
      </c>
      <c r="J48" s="29">
        <v>180</v>
      </c>
      <c r="K48" s="29">
        <v>65700</v>
      </c>
      <c r="L48" s="29">
        <v>10</v>
      </c>
      <c r="M48" s="29">
        <v>1508</v>
      </c>
      <c r="N48" s="29">
        <v>47007</v>
      </c>
      <c r="O48" s="29"/>
      <c r="P48" s="29">
        <v>287</v>
      </c>
      <c r="Q48" s="29" t="s">
        <v>28</v>
      </c>
      <c r="S48" s="30">
        <v>0.71547945205479457</v>
      </c>
      <c r="T48" s="30">
        <v>0.71547945205479457</v>
      </c>
      <c r="U48">
        <f>+VLOOKUP(G48,basev2!$C$5:$Q$173,14,0)</f>
        <v>335</v>
      </c>
      <c r="V48" s="29">
        <f t="shared" si="0"/>
        <v>155</v>
      </c>
    </row>
    <row r="49" spans="1:22">
      <c r="A49" t="s">
        <v>331</v>
      </c>
      <c r="B49">
        <v>2023</v>
      </c>
      <c r="C49">
        <v>30</v>
      </c>
      <c r="D49" s="62">
        <v>300786274</v>
      </c>
      <c r="E49" t="s">
        <v>380</v>
      </c>
      <c r="F49" t="s">
        <v>34</v>
      </c>
      <c r="G49">
        <v>300786266</v>
      </c>
      <c r="H49" t="s">
        <v>333</v>
      </c>
      <c r="I49" s="29" t="s">
        <v>28</v>
      </c>
      <c r="J49" s="29">
        <v>20</v>
      </c>
      <c r="K49" s="29">
        <v>6458</v>
      </c>
      <c r="L49" s="29">
        <v>8</v>
      </c>
      <c r="M49" s="29">
        <v>115</v>
      </c>
      <c r="N49" s="29">
        <v>6130</v>
      </c>
      <c r="O49" s="29"/>
      <c r="P49" s="29">
        <v>1489</v>
      </c>
      <c r="Q49" s="29" t="s">
        <v>28</v>
      </c>
      <c r="S49" s="30">
        <v>0.83972602739726032</v>
      </c>
      <c r="T49" s="30">
        <v>0.9492102818209972</v>
      </c>
      <c r="U49">
        <f>+VLOOKUP(D49,basev2!$C$5:$Q$173,14,0)</f>
        <v>20</v>
      </c>
      <c r="V49" s="29">
        <f t="shared" si="0"/>
        <v>0</v>
      </c>
    </row>
    <row r="50" spans="1:22">
      <c r="A50" t="s">
        <v>331</v>
      </c>
      <c r="B50">
        <v>2023</v>
      </c>
      <c r="C50">
        <v>31</v>
      </c>
      <c r="D50" s="62">
        <v>310000013</v>
      </c>
      <c r="E50" t="s">
        <v>381</v>
      </c>
      <c r="F50" t="s">
        <v>23</v>
      </c>
      <c r="G50">
        <v>310180013</v>
      </c>
      <c r="H50" t="s">
        <v>333</v>
      </c>
      <c r="I50" s="29" t="s">
        <v>28</v>
      </c>
      <c r="J50" s="29">
        <v>26</v>
      </c>
      <c r="K50" s="29">
        <v>9490</v>
      </c>
      <c r="L50" s="29"/>
      <c r="M50" s="29">
        <v>100</v>
      </c>
      <c r="N50" s="29">
        <v>4456</v>
      </c>
      <c r="O50" s="29"/>
      <c r="P50" s="29">
        <v>0</v>
      </c>
      <c r="Q50" s="29" t="s">
        <v>28</v>
      </c>
      <c r="S50" s="30">
        <v>0.46954689146469969</v>
      </c>
      <c r="T50" s="30">
        <v>0.46954689146469969</v>
      </c>
      <c r="U50">
        <f>+VLOOKUP(G50,basev2!$C$5:$Q$173,14,0)</f>
        <v>76</v>
      </c>
      <c r="V50" s="29">
        <f t="shared" si="0"/>
        <v>50</v>
      </c>
    </row>
    <row r="51" spans="1:22">
      <c r="A51" t="s">
        <v>331</v>
      </c>
      <c r="B51">
        <v>2023</v>
      </c>
      <c r="C51">
        <v>31</v>
      </c>
      <c r="D51" s="62">
        <v>310000310</v>
      </c>
      <c r="E51" t="s">
        <v>382</v>
      </c>
      <c r="F51" t="s">
        <v>23</v>
      </c>
      <c r="G51">
        <v>310780671</v>
      </c>
      <c r="H51" t="s">
        <v>333</v>
      </c>
      <c r="I51" s="29" t="s">
        <v>28</v>
      </c>
      <c r="J51" s="29">
        <v>20</v>
      </c>
      <c r="K51" s="29">
        <v>7320</v>
      </c>
      <c r="L51" s="29"/>
      <c r="M51" s="29">
        <v>273</v>
      </c>
      <c r="N51" s="29">
        <v>7209</v>
      </c>
      <c r="O51" s="29"/>
      <c r="P51" s="29">
        <v>0</v>
      </c>
      <c r="Q51" s="29" t="s">
        <v>28</v>
      </c>
      <c r="S51" s="30">
        <v>0.9875342465753425</v>
      </c>
      <c r="T51" s="30">
        <v>0.98483606557377046</v>
      </c>
      <c r="U51">
        <f>+VLOOKUP(G51,basev2!$C$5:$Q$173,14,0)</f>
        <v>20</v>
      </c>
      <c r="V51" s="29">
        <f t="shared" si="0"/>
        <v>0</v>
      </c>
    </row>
    <row r="52" spans="1:22">
      <c r="A52" t="s">
        <v>331</v>
      </c>
      <c r="B52">
        <v>2023</v>
      </c>
      <c r="C52">
        <v>31</v>
      </c>
      <c r="D52" s="62">
        <v>310000336</v>
      </c>
      <c r="E52" t="s">
        <v>383</v>
      </c>
      <c r="F52" t="s">
        <v>23</v>
      </c>
      <c r="G52">
        <v>310780713</v>
      </c>
      <c r="H52" t="s">
        <v>333</v>
      </c>
      <c r="I52" s="29" t="s">
        <v>28</v>
      </c>
      <c r="J52" s="29">
        <v>51</v>
      </c>
      <c r="K52" s="29">
        <v>15939</v>
      </c>
      <c r="L52" s="29">
        <v>4</v>
      </c>
      <c r="M52" s="29">
        <v>424</v>
      </c>
      <c r="N52" s="29">
        <v>14126</v>
      </c>
      <c r="O52" s="29"/>
      <c r="P52" s="29">
        <v>0</v>
      </c>
      <c r="Q52" s="29" t="s">
        <v>28</v>
      </c>
      <c r="S52" s="30">
        <v>0.75885038947085681</v>
      </c>
      <c r="T52" s="30">
        <v>0.88625384277558195</v>
      </c>
      <c r="U52">
        <f>+VLOOKUP(G52,basev2!$C$5:$Q$173,14,0)</f>
        <v>51</v>
      </c>
      <c r="V52" s="29">
        <f t="shared" si="0"/>
        <v>0</v>
      </c>
    </row>
    <row r="53" spans="1:22">
      <c r="A53" t="s">
        <v>331</v>
      </c>
      <c r="B53">
        <v>2023</v>
      </c>
      <c r="C53">
        <v>31</v>
      </c>
      <c r="D53" s="62">
        <v>310013628</v>
      </c>
      <c r="E53" t="s">
        <v>384</v>
      </c>
      <c r="F53" t="s">
        <v>23</v>
      </c>
      <c r="G53">
        <v>310786256</v>
      </c>
      <c r="H53" t="s">
        <v>333</v>
      </c>
      <c r="I53" s="29" t="s">
        <v>28</v>
      </c>
      <c r="J53" s="29">
        <v>35</v>
      </c>
      <c r="K53" s="29">
        <v>12775</v>
      </c>
      <c r="L53" s="29"/>
      <c r="M53" s="29">
        <v>343</v>
      </c>
      <c r="N53" s="29">
        <v>10993</v>
      </c>
      <c r="O53" s="29"/>
      <c r="P53" s="29">
        <v>0</v>
      </c>
      <c r="Q53" s="29" t="s">
        <v>28</v>
      </c>
      <c r="S53" s="30">
        <v>0.86050880626223092</v>
      </c>
      <c r="T53" s="30">
        <v>0.86050880626223092</v>
      </c>
      <c r="U53">
        <f>+VLOOKUP(G53,basev2!$C$5:$Q$173,14,0)</f>
        <v>35</v>
      </c>
      <c r="V53" s="29">
        <f t="shared" si="0"/>
        <v>0</v>
      </c>
    </row>
    <row r="54" spans="1:22">
      <c r="A54" t="s">
        <v>331</v>
      </c>
      <c r="B54">
        <v>2023</v>
      </c>
      <c r="C54">
        <v>31</v>
      </c>
      <c r="D54" s="62">
        <v>310014329</v>
      </c>
      <c r="E54" t="s">
        <v>385</v>
      </c>
      <c r="F54" t="s">
        <v>34</v>
      </c>
      <c r="G54">
        <v>310781562</v>
      </c>
      <c r="H54" t="s">
        <v>333</v>
      </c>
      <c r="I54" s="29" t="s">
        <v>28</v>
      </c>
      <c r="J54" s="29">
        <v>15</v>
      </c>
      <c r="K54" s="29">
        <v>5115</v>
      </c>
      <c r="L54" s="29"/>
      <c r="M54" s="29">
        <v>102</v>
      </c>
      <c r="N54" s="29">
        <v>3828</v>
      </c>
      <c r="O54" s="29"/>
      <c r="P54" s="29">
        <v>0</v>
      </c>
      <c r="Q54" s="29" t="s">
        <v>28</v>
      </c>
      <c r="S54" s="30">
        <v>0.69917808219178079</v>
      </c>
      <c r="T54" s="30">
        <v>0.74838709677419357</v>
      </c>
      <c r="U54">
        <f>+VLOOKUP(D54,basev2!$C$5:$Q$173,14,0)</f>
        <v>15</v>
      </c>
      <c r="V54" s="29">
        <f t="shared" si="0"/>
        <v>0</v>
      </c>
    </row>
    <row r="55" spans="1:22">
      <c r="A55" t="s">
        <v>331</v>
      </c>
      <c r="B55">
        <v>2023</v>
      </c>
      <c r="C55">
        <v>31</v>
      </c>
      <c r="D55" s="62">
        <v>310019351</v>
      </c>
      <c r="E55" t="s">
        <v>386</v>
      </c>
      <c r="F55" t="s">
        <v>23</v>
      </c>
      <c r="G55">
        <v>310781406</v>
      </c>
      <c r="H55" t="s">
        <v>333</v>
      </c>
      <c r="I55" s="29" t="s">
        <v>28</v>
      </c>
      <c r="J55" s="29"/>
      <c r="K55" s="29"/>
      <c r="L55" s="29">
        <v>5</v>
      </c>
      <c r="M55" s="29">
        <v>0</v>
      </c>
      <c r="N55" s="29">
        <v>0</v>
      </c>
      <c r="O55" s="29"/>
      <c r="P55" s="29">
        <v>968</v>
      </c>
      <c r="Q55" s="29" t="s">
        <v>28</v>
      </c>
      <c r="S55" s="30"/>
      <c r="T55" s="30"/>
      <c r="U55" t="e">
        <f>+VLOOKUP(D55,basev2!$C$5:$Q$173,14,0)</f>
        <v>#N/A</v>
      </c>
      <c r="V55" s="29" t="e">
        <f t="shared" si="0"/>
        <v>#N/A</v>
      </c>
    </row>
    <row r="56" spans="1:22">
      <c r="A56" t="s">
        <v>331</v>
      </c>
      <c r="B56">
        <v>2023</v>
      </c>
      <c r="C56">
        <v>31</v>
      </c>
      <c r="D56" s="62">
        <v>310020938</v>
      </c>
      <c r="E56" t="s">
        <v>387</v>
      </c>
      <c r="F56" t="s">
        <v>342</v>
      </c>
      <c r="G56">
        <v>310025010</v>
      </c>
      <c r="H56" t="s">
        <v>333</v>
      </c>
      <c r="I56" s="29" t="s">
        <v>28</v>
      </c>
      <c r="J56" s="29">
        <v>115</v>
      </c>
      <c r="K56" s="29">
        <v>48541</v>
      </c>
      <c r="L56" s="29">
        <v>10</v>
      </c>
      <c r="M56" s="29">
        <v>1045</v>
      </c>
      <c r="N56" s="29">
        <v>43105</v>
      </c>
      <c r="O56" s="29"/>
      <c r="P56" s="29">
        <v>5436</v>
      </c>
      <c r="Q56" s="29" t="s">
        <v>28</v>
      </c>
      <c r="S56" s="30">
        <v>1.0269207861822514</v>
      </c>
      <c r="T56" s="30">
        <v>0.8880121958756515</v>
      </c>
      <c r="U56">
        <f>+VLOOKUP(D56,basev2!$C$5:$Q$173,14,0)</f>
        <v>115</v>
      </c>
      <c r="V56" s="29">
        <f t="shared" si="0"/>
        <v>0</v>
      </c>
    </row>
    <row r="57" spans="1:22">
      <c r="A57" t="s">
        <v>331</v>
      </c>
      <c r="B57">
        <v>2023</v>
      </c>
      <c r="C57">
        <v>31</v>
      </c>
      <c r="D57" s="62">
        <v>310021571</v>
      </c>
      <c r="E57" t="s">
        <v>388</v>
      </c>
      <c r="F57" t="s">
        <v>342</v>
      </c>
      <c r="G57">
        <v>310021563</v>
      </c>
      <c r="H57" t="s">
        <v>333</v>
      </c>
      <c r="I57" s="29" t="s">
        <v>28</v>
      </c>
      <c r="J57" s="29">
        <v>113</v>
      </c>
      <c r="K57" s="29">
        <v>41245</v>
      </c>
      <c r="L57" s="29">
        <v>15</v>
      </c>
      <c r="M57" s="29">
        <v>934</v>
      </c>
      <c r="N57" s="29">
        <v>38533</v>
      </c>
      <c r="O57" s="29"/>
      <c r="P57" s="29">
        <v>2654</v>
      </c>
      <c r="Q57" s="29" t="s">
        <v>28</v>
      </c>
      <c r="S57" s="30">
        <v>0.9342465753424658</v>
      </c>
      <c r="T57" s="30">
        <v>0.9342465753424658</v>
      </c>
      <c r="U57">
        <f>+VLOOKUP(D57,basev2!$C$5:$Q$173,14,0)</f>
        <v>113</v>
      </c>
      <c r="V57" s="29">
        <f t="shared" si="0"/>
        <v>0</v>
      </c>
    </row>
    <row r="58" spans="1:22">
      <c r="A58" t="s">
        <v>331</v>
      </c>
      <c r="B58">
        <v>2023</v>
      </c>
      <c r="C58">
        <v>31</v>
      </c>
      <c r="D58" s="62">
        <v>310022298</v>
      </c>
      <c r="E58" t="s">
        <v>389</v>
      </c>
      <c r="F58" t="s">
        <v>23</v>
      </c>
      <c r="G58">
        <v>310781406</v>
      </c>
      <c r="H58" t="s">
        <v>333</v>
      </c>
      <c r="I58" s="29" t="s">
        <v>28</v>
      </c>
      <c r="J58" s="29">
        <v>82</v>
      </c>
      <c r="K58" s="29">
        <v>29899</v>
      </c>
      <c r="L58" s="29">
        <v>10</v>
      </c>
      <c r="M58" s="29">
        <v>870</v>
      </c>
      <c r="N58" s="29">
        <v>27671</v>
      </c>
      <c r="O58" s="29"/>
      <c r="P58" s="29">
        <v>2070</v>
      </c>
      <c r="Q58" s="29" t="s">
        <v>28</v>
      </c>
      <c r="S58" s="30">
        <v>0.92452388907450722</v>
      </c>
      <c r="T58" s="30">
        <v>0.92548245760727788</v>
      </c>
      <c r="U58">
        <f>+VLOOKUP(G58,basev2!$C$5:$Q$173,14,0)</f>
        <v>187</v>
      </c>
      <c r="V58" s="29">
        <f t="shared" si="0"/>
        <v>105</v>
      </c>
    </row>
    <row r="59" spans="1:22">
      <c r="A59" t="s">
        <v>331</v>
      </c>
      <c r="B59">
        <v>2023</v>
      </c>
      <c r="C59">
        <v>31</v>
      </c>
      <c r="D59" s="62">
        <v>310023007</v>
      </c>
      <c r="E59" t="s">
        <v>390</v>
      </c>
      <c r="F59" t="s">
        <v>342</v>
      </c>
      <c r="G59">
        <v>810005678</v>
      </c>
      <c r="H59" t="s">
        <v>333</v>
      </c>
      <c r="I59" s="29" t="s">
        <v>28</v>
      </c>
      <c r="J59" s="29">
        <v>44</v>
      </c>
      <c r="K59" s="29">
        <v>16010</v>
      </c>
      <c r="L59" s="29"/>
      <c r="M59" s="29">
        <v>424</v>
      </c>
      <c r="N59" s="29">
        <v>13001</v>
      </c>
      <c r="O59" s="29"/>
      <c r="P59" s="29">
        <v>0</v>
      </c>
      <c r="Q59" s="29" t="s">
        <v>28</v>
      </c>
      <c r="S59" s="30">
        <v>0.80952677459526778</v>
      </c>
      <c r="T59" s="30">
        <v>0.81205496564647095</v>
      </c>
      <c r="U59">
        <f>+VLOOKUP(D59,basev2!$C$5:$Q$173,14,0)</f>
        <v>44</v>
      </c>
      <c r="V59" s="29">
        <f t="shared" si="0"/>
        <v>0</v>
      </c>
    </row>
    <row r="60" spans="1:22">
      <c r="A60" t="s">
        <v>331</v>
      </c>
      <c r="B60">
        <v>2023</v>
      </c>
      <c r="C60">
        <v>31</v>
      </c>
      <c r="D60" s="62">
        <v>310026927</v>
      </c>
      <c r="E60" t="s">
        <v>391</v>
      </c>
      <c r="F60" t="s">
        <v>342</v>
      </c>
      <c r="G60">
        <v>310026794</v>
      </c>
      <c r="H60" t="s">
        <v>333</v>
      </c>
      <c r="I60" s="29" t="s">
        <v>28</v>
      </c>
      <c r="J60" s="29">
        <v>31</v>
      </c>
      <c r="K60" s="29">
        <v>11315</v>
      </c>
      <c r="L60" s="29"/>
      <c r="M60" s="29">
        <v>257</v>
      </c>
      <c r="N60" s="29">
        <v>7244</v>
      </c>
      <c r="O60" s="29"/>
      <c r="P60" s="29">
        <v>0</v>
      </c>
      <c r="Q60" s="29" t="s">
        <v>28</v>
      </c>
      <c r="S60" s="30">
        <v>0.64021210782147586</v>
      </c>
      <c r="T60" s="30">
        <v>0.64021210782147586</v>
      </c>
      <c r="U60">
        <f>+VLOOKUP(D60,basev2!$C$5:$Q$173,14,0)</f>
        <v>31</v>
      </c>
      <c r="V60" s="29">
        <f t="shared" si="0"/>
        <v>0</v>
      </c>
    </row>
    <row r="61" spans="1:22">
      <c r="A61" t="s">
        <v>331</v>
      </c>
      <c r="B61">
        <v>2023</v>
      </c>
      <c r="C61">
        <v>31</v>
      </c>
      <c r="D61" s="62">
        <v>310780150</v>
      </c>
      <c r="E61" t="s">
        <v>392</v>
      </c>
      <c r="F61" t="s">
        <v>342</v>
      </c>
      <c r="G61">
        <v>310788799</v>
      </c>
      <c r="H61" t="s">
        <v>333</v>
      </c>
      <c r="I61" s="29" t="s">
        <v>28</v>
      </c>
      <c r="J61" s="29">
        <v>16</v>
      </c>
      <c r="K61" s="29">
        <v>5840</v>
      </c>
      <c r="L61" s="29">
        <v>40</v>
      </c>
      <c r="M61" s="29">
        <v>577</v>
      </c>
      <c r="N61" s="29">
        <v>2370</v>
      </c>
      <c r="O61" s="29"/>
      <c r="P61" s="29">
        <v>12815</v>
      </c>
      <c r="Q61" s="29" t="s">
        <v>28</v>
      </c>
      <c r="S61" s="30">
        <v>0.40582191780821919</v>
      </c>
      <c r="T61" s="30">
        <v>0.40582191780821919</v>
      </c>
      <c r="U61">
        <f>+VLOOKUP(D61,basev2!$C$5:$Q$173,14,0)</f>
        <v>16</v>
      </c>
      <c r="V61" s="29">
        <f t="shared" si="0"/>
        <v>0</v>
      </c>
    </row>
    <row r="62" spans="1:22">
      <c r="A62" t="s">
        <v>331</v>
      </c>
      <c r="B62">
        <v>2023</v>
      </c>
      <c r="C62">
        <v>31</v>
      </c>
      <c r="D62" s="62">
        <v>310780234</v>
      </c>
      <c r="E62" t="s">
        <v>393</v>
      </c>
      <c r="F62" t="s">
        <v>342</v>
      </c>
      <c r="G62">
        <v>920030871</v>
      </c>
      <c r="H62" t="s">
        <v>333</v>
      </c>
      <c r="I62" s="29" t="s">
        <v>28</v>
      </c>
      <c r="J62" s="29">
        <v>105</v>
      </c>
      <c r="K62" s="29">
        <v>38325</v>
      </c>
      <c r="L62" s="29">
        <v>15</v>
      </c>
      <c r="M62" s="29">
        <v>805</v>
      </c>
      <c r="N62" s="29">
        <v>35885</v>
      </c>
      <c r="O62" s="29"/>
      <c r="P62" s="29">
        <v>10457</v>
      </c>
      <c r="Q62" s="29" t="s">
        <v>28</v>
      </c>
      <c r="S62" s="30">
        <v>0.93633398564905412</v>
      </c>
      <c r="T62" s="30">
        <v>0.93633398564905412</v>
      </c>
      <c r="U62">
        <f>+VLOOKUP(D62,basev2!$C$5:$Q$173,14,0)</f>
        <v>105</v>
      </c>
      <c r="V62" s="29">
        <f t="shared" si="0"/>
        <v>0</v>
      </c>
    </row>
    <row r="63" spans="1:22">
      <c r="A63" t="s">
        <v>331</v>
      </c>
      <c r="B63">
        <v>2023</v>
      </c>
      <c r="C63">
        <v>31</v>
      </c>
      <c r="D63" s="62">
        <v>310780366</v>
      </c>
      <c r="E63" t="s">
        <v>394</v>
      </c>
      <c r="F63" t="s">
        <v>342</v>
      </c>
      <c r="G63">
        <v>310000153</v>
      </c>
      <c r="H63" t="s">
        <v>333</v>
      </c>
      <c r="I63" s="29" t="s">
        <v>28</v>
      </c>
      <c r="J63" s="29">
        <v>115</v>
      </c>
      <c r="K63" s="29">
        <v>36000</v>
      </c>
      <c r="L63" s="29">
        <v>11</v>
      </c>
      <c r="M63" s="29">
        <v>1053</v>
      </c>
      <c r="N63" s="29">
        <v>34138</v>
      </c>
      <c r="O63" s="29"/>
      <c r="P63" s="29">
        <v>7020</v>
      </c>
      <c r="Q63" s="29" t="s">
        <v>28</v>
      </c>
      <c r="S63" s="30">
        <v>0.8132936271590232</v>
      </c>
      <c r="T63" s="30">
        <v>0.94827777777777778</v>
      </c>
      <c r="U63">
        <f>+VLOOKUP(D63,basev2!$C$5:$Q$173,14,0)</f>
        <v>115</v>
      </c>
      <c r="V63" s="29">
        <f t="shared" si="0"/>
        <v>0</v>
      </c>
    </row>
    <row r="64" spans="1:22">
      <c r="A64" t="s">
        <v>331</v>
      </c>
      <c r="B64">
        <v>2023</v>
      </c>
      <c r="C64">
        <v>31</v>
      </c>
      <c r="D64" s="62">
        <v>310780374</v>
      </c>
      <c r="E64" t="s">
        <v>395</v>
      </c>
      <c r="F64" t="s">
        <v>342</v>
      </c>
      <c r="G64">
        <v>310000161</v>
      </c>
      <c r="H64" t="s">
        <v>333</v>
      </c>
      <c r="I64" s="29" t="s">
        <v>28</v>
      </c>
      <c r="J64" s="29">
        <v>148</v>
      </c>
      <c r="K64" s="29">
        <v>54020</v>
      </c>
      <c r="L64" s="29">
        <v>15</v>
      </c>
      <c r="M64" s="29">
        <v>1993</v>
      </c>
      <c r="N64" s="29">
        <v>53183</v>
      </c>
      <c r="O64" s="29"/>
      <c r="P64" s="29">
        <v>2689</v>
      </c>
      <c r="Q64" s="29" t="s">
        <v>28</v>
      </c>
      <c r="S64" s="30">
        <v>0.98450573861532764</v>
      </c>
      <c r="T64" s="30">
        <v>0.98450573861532764</v>
      </c>
      <c r="U64">
        <f>+VLOOKUP(D64,basev2!$C$5:$Q$173,14,0)</f>
        <v>148</v>
      </c>
      <c r="V64" s="29">
        <f t="shared" si="0"/>
        <v>0</v>
      </c>
    </row>
    <row r="65" spans="1:22">
      <c r="A65" t="s">
        <v>331</v>
      </c>
      <c r="B65">
        <v>2023</v>
      </c>
      <c r="C65">
        <v>31</v>
      </c>
      <c r="D65" s="62">
        <v>310781125</v>
      </c>
      <c r="E65" t="s">
        <v>396</v>
      </c>
      <c r="F65" t="s">
        <v>342</v>
      </c>
      <c r="G65">
        <v>310000419</v>
      </c>
      <c r="H65" t="s">
        <v>333</v>
      </c>
      <c r="I65" s="29" t="s">
        <v>28</v>
      </c>
      <c r="J65" s="29">
        <v>52</v>
      </c>
      <c r="K65" s="29">
        <v>18980</v>
      </c>
      <c r="L65" s="29"/>
      <c r="M65" s="29">
        <v>498</v>
      </c>
      <c r="N65" s="29">
        <v>17264</v>
      </c>
      <c r="O65" s="29"/>
      <c r="P65" s="29">
        <v>0</v>
      </c>
      <c r="Q65" s="29" t="s">
        <v>28</v>
      </c>
      <c r="S65" s="30">
        <v>0.90958904109589045</v>
      </c>
      <c r="T65" s="30">
        <v>0.90958904109589045</v>
      </c>
      <c r="U65">
        <f>+VLOOKUP(D65,basev2!$C$5:$Q$173,14,0)</f>
        <v>52</v>
      </c>
      <c r="V65" s="29">
        <f t="shared" si="0"/>
        <v>0</v>
      </c>
    </row>
    <row r="66" spans="1:22">
      <c r="A66" t="s">
        <v>331</v>
      </c>
      <c r="B66">
        <v>2023</v>
      </c>
      <c r="C66">
        <v>31</v>
      </c>
      <c r="D66" s="62">
        <v>310781174</v>
      </c>
      <c r="E66" t="s">
        <v>397</v>
      </c>
      <c r="F66" t="s">
        <v>342</v>
      </c>
      <c r="G66">
        <v>310025010</v>
      </c>
      <c r="H66" t="s">
        <v>333</v>
      </c>
      <c r="I66" s="29" t="s">
        <v>28</v>
      </c>
      <c r="J66" s="29">
        <v>80</v>
      </c>
      <c r="K66" s="29">
        <v>29200</v>
      </c>
      <c r="L66" s="29">
        <v>10</v>
      </c>
      <c r="M66" s="29">
        <v>725</v>
      </c>
      <c r="N66" s="29">
        <v>29065</v>
      </c>
      <c r="O66" s="29"/>
      <c r="P66" s="29">
        <v>3914</v>
      </c>
      <c r="Q66" s="29" t="s">
        <v>28</v>
      </c>
      <c r="S66" s="30">
        <v>0.99537671232876712</v>
      </c>
      <c r="T66" s="30">
        <v>0.99537671232876712</v>
      </c>
      <c r="U66">
        <f>+VLOOKUP(D66,basev2!$C$5:$Q$173,14,0)</f>
        <v>80</v>
      </c>
      <c r="V66" s="29">
        <f t="shared" si="0"/>
        <v>0</v>
      </c>
    </row>
    <row r="67" spans="1:22">
      <c r="A67" t="s">
        <v>331</v>
      </c>
      <c r="B67">
        <v>2023</v>
      </c>
      <c r="C67">
        <v>31</v>
      </c>
      <c r="D67" s="62">
        <v>310781695</v>
      </c>
      <c r="E67" t="s">
        <v>398</v>
      </c>
      <c r="F67" t="s">
        <v>342</v>
      </c>
      <c r="G67">
        <v>920030269</v>
      </c>
      <c r="H67" t="s">
        <v>333</v>
      </c>
      <c r="I67" s="29" t="s">
        <v>28</v>
      </c>
      <c r="J67" s="29">
        <v>113</v>
      </c>
      <c r="K67" s="29">
        <v>41245</v>
      </c>
      <c r="L67" s="29"/>
      <c r="M67" s="29">
        <v>679</v>
      </c>
      <c r="N67" s="29">
        <v>26310</v>
      </c>
      <c r="O67" s="29"/>
      <c r="P67" s="29">
        <v>0</v>
      </c>
      <c r="Q67" s="29" t="s">
        <v>28</v>
      </c>
      <c r="S67" s="30">
        <v>0.6378955024851497</v>
      </c>
      <c r="T67" s="30">
        <v>0.6378955024851497</v>
      </c>
      <c r="U67">
        <f>+VLOOKUP(D67,basev2!$C$5:$Q$173,14,0)</f>
        <v>113</v>
      </c>
      <c r="V67" s="29">
        <f t="shared" ref="V67:V130" si="1">+U67-J67</f>
        <v>0</v>
      </c>
    </row>
    <row r="68" spans="1:22">
      <c r="A68" t="s">
        <v>331</v>
      </c>
      <c r="B68">
        <v>2023</v>
      </c>
      <c r="C68">
        <v>31</v>
      </c>
      <c r="D68" s="62">
        <v>310781984</v>
      </c>
      <c r="E68" t="s">
        <v>399</v>
      </c>
      <c r="F68" t="s">
        <v>342</v>
      </c>
      <c r="G68">
        <v>310014378</v>
      </c>
      <c r="H68" t="s">
        <v>333</v>
      </c>
      <c r="I68" s="29" t="s">
        <v>28</v>
      </c>
      <c r="J68" s="29">
        <v>169</v>
      </c>
      <c r="K68" s="29">
        <v>57305</v>
      </c>
      <c r="L68" s="29">
        <v>8</v>
      </c>
      <c r="M68" s="29">
        <v>1096</v>
      </c>
      <c r="N68" s="29">
        <v>54842</v>
      </c>
      <c r="O68" s="29"/>
      <c r="P68" s="29">
        <v>4455</v>
      </c>
      <c r="Q68" s="29" t="s">
        <v>28</v>
      </c>
      <c r="S68" s="30">
        <v>0.88906541298532871</v>
      </c>
      <c r="T68" s="30">
        <v>0.95701945728993976</v>
      </c>
      <c r="U68">
        <f>+VLOOKUP(D68,basev2!$C$5:$Q$173,14,0)</f>
        <v>169</v>
      </c>
      <c r="V68" s="29">
        <f t="shared" si="1"/>
        <v>0</v>
      </c>
    </row>
    <row r="69" spans="1:22">
      <c r="A69" t="s">
        <v>331</v>
      </c>
      <c r="B69">
        <v>2023</v>
      </c>
      <c r="C69">
        <v>31</v>
      </c>
      <c r="D69" s="62">
        <v>310782016</v>
      </c>
      <c r="E69" t="s">
        <v>400</v>
      </c>
      <c r="F69" t="s">
        <v>342</v>
      </c>
      <c r="G69">
        <v>310000617</v>
      </c>
      <c r="H69" t="s">
        <v>333</v>
      </c>
      <c r="I69" s="29" t="s">
        <v>28</v>
      </c>
      <c r="J69" s="29">
        <v>45</v>
      </c>
      <c r="K69" s="29">
        <v>16425</v>
      </c>
      <c r="L69" s="29"/>
      <c r="M69" s="29">
        <v>564</v>
      </c>
      <c r="N69" s="29">
        <v>15818</v>
      </c>
      <c r="O69" s="29"/>
      <c r="P69" s="29">
        <v>0</v>
      </c>
      <c r="Q69" s="29" t="s">
        <v>28</v>
      </c>
      <c r="S69" s="30">
        <v>0.96304414003044136</v>
      </c>
      <c r="T69" s="30">
        <v>0.96304414003044136</v>
      </c>
      <c r="U69">
        <f>+VLOOKUP(D69,basev2!$C$5:$Q$173,14,0)</f>
        <v>45</v>
      </c>
      <c r="V69" s="29">
        <f t="shared" si="1"/>
        <v>0</v>
      </c>
    </row>
    <row r="70" spans="1:22">
      <c r="A70" t="s">
        <v>331</v>
      </c>
      <c r="B70">
        <v>2023</v>
      </c>
      <c r="C70">
        <v>31</v>
      </c>
      <c r="D70" s="62">
        <v>310782339</v>
      </c>
      <c r="E70" t="s">
        <v>401</v>
      </c>
      <c r="F70" t="s">
        <v>23</v>
      </c>
      <c r="G70">
        <v>310781406</v>
      </c>
      <c r="H70" t="s">
        <v>333</v>
      </c>
      <c r="I70" s="29" t="s">
        <v>28</v>
      </c>
      <c r="J70" s="29">
        <v>76</v>
      </c>
      <c r="K70" s="29">
        <v>26035</v>
      </c>
      <c r="L70" s="29"/>
      <c r="M70" s="29">
        <v>699</v>
      </c>
      <c r="N70" s="29">
        <v>13701</v>
      </c>
      <c r="O70" s="29"/>
      <c r="P70" s="29">
        <v>0</v>
      </c>
      <c r="Q70" s="29" t="s">
        <v>28</v>
      </c>
      <c r="S70" s="30">
        <v>0.49390771449170873</v>
      </c>
      <c r="T70" s="30">
        <v>0.5262531207989245</v>
      </c>
      <c r="U70">
        <f>+VLOOKUP(G70,basev2!$C$5:$Q$173,14,0)</f>
        <v>187</v>
      </c>
      <c r="V70" s="29">
        <f t="shared" si="1"/>
        <v>111</v>
      </c>
    </row>
    <row r="71" spans="1:22">
      <c r="A71" t="s">
        <v>331</v>
      </c>
      <c r="B71">
        <v>2023</v>
      </c>
      <c r="C71">
        <v>31</v>
      </c>
      <c r="D71" s="62">
        <v>310782396</v>
      </c>
      <c r="E71" t="s">
        <v>402</v>
      </c>
      <c r="F71" t="s">
        <v>342</v>
      </c>
      <c r="G71">
        <v>310025010</v>
      </c>
      <c r="H71" t="s">
        <v>333</v>
      </c>
      <c r="I71" s="29" t="s">
        <v>28</v>
      </c>
      <c r="J71" s="29">
        <v>95</v>
      </c>
      <c r="K71" s="29">
        <v>34675</v>
      </c>
      <c r="L71" s="29">
        <v>15</v>
      </c>
      <c r="M71" s="29">
        <v>792</v>
      </c>
      <c r="N71" s="29">
        <v>33929</v>
      </c>
      <c r="O71" s="29"/>
      <c r="P71" s="29">
        <v>5667</v>
      </c>
      <c r="Q71" s="29" t="s">
        <v>28</v>
      </c>
      <c r="S71" s="30">
        <v>0.97848594087959628</v>
      </c>
      <c r="T71" s="30">
        <v>0.97848594087959628</v>
      </c>
      <c r="U71">
        <f>+VLOOKUP(D71,basev2!$C$5:$Q$173,14,0)</f>
        <v>95</v>
      </c>
      <c r="V71" s="29">
        <f t="shared" si="1"/>
        <v>0</v>
      </c>
    </row>
    <row r="72" spans="1:22">
      <c r="A72" t="s">
        <v>331</v>
      </c>
      <c r="B72">
        <v>2023</v>
      </c>
      <c r="C72">
        <v>31</v>
      </c>
      <c r="D72" s="62">
        <v>310783055</v>
      </c>
      <c r="E72" t="s">
        <v>403</v>
      </c>
      <c r="F72" t="s">
        <v>23</v>
      </c>
      <c r="G72">
        <v>310781406</v>
      </c>
      <c r="H72" t="s">
        <v>333</v>
      </c>
      <c r="I72" s="29" t="s">
        <v>28</v>
      </c>
      <c r="J72" s="29">
        <v>29</v>
      </c>
      <c r="K72" s="29">
        <v>10585</v>
      </c>
      <c r="L72" s="29">
        <v>20</v>
      </c>
      <c r="M72" s="29">
        <v>180</v>
      </c>
      <c r="N72" s="29">
        <v>7904</v>
      </c>
      <c r="O72" s="29"/>
      <c r="P72" s="29">
        <v>5886</v>
      </c>
      <c r="Q72" s="29" t="s">
        <v>28</v>
      </c>
      <c r="S72" s="30">
        <v>0.74671705243268771</v>
      </c>
      <c r="T72" s="30">
        <v>0.74671705243268771</v>
      </c>
      <c r="U72">
        <f>+VLOOKUP(G72,basev2!$C$5:$Q$173,14,0)</f>
        <v>187</v>
      </c>
      <c r="V72" s="29">
        <f t="shared" si="1"/>
        <v>158</v>
      </c>
    </row>
    <row r="73" spans="1:22">
      <c r="A73" t="s">
        <v>331</v>
      </c>
      <c r="B73">
        <v>2023</v>
      </c>
      <c r="C73">
        <v>31</v>
      </c>
      <c r="D73" s="62">
        <v>310784558</v>
      </c>
      <c r="E73" t="s">
        <v>404</v>
      </c>
      <c r="F73" t="s">
        <v>23</v>
      </c>
      <c r="G73">
        <v>310180013</v>
      </c>
      <c r="H73" t="s">
        <v>333</v>
      </c>
      <c r="I73" s="29" t="s">
        <v>28</v>
      </c>
      <c r="J73" s="29">
        <v>50</v>
      </c>
      <c r="K73" s="29">
        <v>16425</v>
      </c>
      <c r="L73" s="29">
        <v>7</v>
      </c>
      <c r="M73" s="29">
        <v>324</v>
      </c>
      <c r="N73" s="29">
        <v>10416</v>
      </c>
      <c r="O73" s="29"/>
      <c r="P73" s="29">
        <v>3754</v>
      </c>
      <c r="Q73" s="29" t="s">
        <v>28</v>
      </c>
      <c r="S73" s="30">
        <v>0.57073972602739731</v>
      </c>
      <c r="T73" s="30">
        <v>0.63415525114155247</v>
      </c>
      <c r="U73">
        <f>+VLOOKUP(G73,basev2!$C$5:$Q$173,14,0)</f>
        <v>76</v>
      </c>
      <c r="V73" s="29">
        <f t="shared" si="1"/>
        <v>26</v>
      </c>
    </row>
    <row r="74" spans="1:22">
      <c r="A74" t="s">
        <v>331</v>
      </c>
      <c r="B74">
        <v>2023</v>
      </c>
      <c r="C74">
        <v>31</v>
      </c>
      <c r="D74" s="62">
        <v>310784830</v>
      </c>
      <c r="E74" t="s">
        <v>405</v>
      </c>
      <c r="F74" t="s">
        <v>342</v>
      </c>
      <c r="G74">
        <v>310788880</v>
      </c>
      <c r="H74" t="s">
        <v>333</v>
      </c>
      <c r="I74" s="29" t="s">
        <v>28</v>
      </c>
      <c r="J74" s="29">
        <v>84</v>
      </c>
      <c r="K74" s="29">
        <v>30660</v>
      </c>
      <c r="L74" s="29">
        <v>5</v>
      </c>
      <c r="M74" s="29">
        <v>565</v>
      </c>
      <c r="N74" s="29">
        <v>20628</v>
      </c>
      <c r="O74" s="29"/>
      <c r="P74" s="29">
        <v>15295</v>
      </c>
      <c r="Q74" s="29" t="s">
        <v>28</v>
      </c>
      <c r="S74" s="30">
        <v>0.67279843444227005</v>
      </c>
      <c r="T74" s="30">
        <v>0.67279843444227005</v>
      </c>
      <c r="U74">
        <f>+VLOOKUP(D74,basev2!$C$5:$Q$173,14,0)</f>
        <v>84</v>
      </c>
      <c r="V74" s="29">
        <f t="shared" si="1"/>
        <v>0</v>
      </c>
    </row>
    <row r="75" spans="1:22">
      <c r="A75" t="s">
        <v>331</v>
      </c>
      <c r="B75">
        <v>2023</v>
      </c>
      <c r="C75">
        <v>31</v>
      </c>
      <c r="D75" s="62">
        <v>310786389</v>
      </c>
      <c r="E75" t="s">
        <v>406</v>
      </c>
      <c r="F75" t="s">
        <v>342</v>
      </c>
      <c r="G75">
        <v>310001433</v>
      </c>
      <c r="H75" t="s">
        <v>333</v>
      </c>
      <c r="I75" s="29" t="s">
        <v>28</v>
      </c>
      <c r="J75" s="29">
        <v>108</v>
      </c>
      <c r="K75" s="29">
        <v>39420</v>
      </c>
      <c r="L75" s="29">
        <v>20</v>
      </c>
      <c r="M75" s="29">
        <v>977</v>
      </c>
      <c r="N75" s="29">
        <v>35451</v>
      </c>
      <c r="O75" s="29"/>
      <c r="P75" s="29">
        <v>3524</v>
      </c>
      <c r="Q75" s="29" t="s">
        <v>28</v>
      </c>
      <c r="S75" s="30">
        <v>0.89931506849315068</v>
      </c>
      <c r="T75" s="30">
        <v>0.89931506849315068</v>
      </c>
      <c r="U75">
        <f>+VLOOKUP(D75,basev2!$C$5:$Q$173,14,0)</f>
        <v>108</v>
      </c>
      <c r="V75" s="29">
        <f t="shared" si="1"/>
        <v>0</v>
      </c>
    </row>
    <row r="76" spans="1:22">
      <c r="A76" t="s">
        <v>331</v>
      </c>
      <c r="B76">
        <v>2023</v>
      </c>
      <c r="C76">
        <v>31</v>
      </c>
      <c r="D76" s="62">
        <v>310786702</v>
      </c>
      <c r="E76" t="s">
        <v>407</v>
      </c>
      <c r="F76" t="s">
        <v>34</v>
      </c>
      <c r="G76">
        <v>750043713</v>
      </c>
      <c r="H76" t="s">
        <v>333</v>
      </c>
      <c r="I76" s="29" t="s">
        <v>28</v>
      </c>
      <c r="J76" s="29">
        <v>53</v>
      </c>
      <c r="K76" s="29">
        <v>19345</v>
      </c>
      <c r="L76" s="29">
        <v>20</v>
      </c>
      <c r="M76" s="29">
        <v>534</v>
      </c>
      <c r="N76" s="29">
        <v>19305</v>
      </c>
      <c r="O76" s="29"/>
      <c r="P76" s="29">
        <v>3464</v>
      </c>
      <c r="Q76" s="29" t="s">
        <v>28</v>
      </c>
      <c r="S76" s="30">
        <v>0.99793228224347374</v>
      </c>
      <c r="T76" s="30">
        <v>0.99793228224347374</v>
      </c>
      <c r="U76">
        <f>+VLOOKUP(D76,basev2!$C$5:$Q$173,14,0)</f>
        <v>53</v>
      </c>
      <c r="V76" s="29">
        <f t="shared" si="1"/>
        <v>0</v>
      </c>
    </row>
    <row r="77" spans="1:22">
      <c r="A77" t="s">
        <v>331</v>
      </c>
      <c r="B77">
        <v>2023</v>
      </c>
      <c r="C77">
        <v>31</v>
      </c>
      <c r="D77" s="62">
        <v>310787965</v>
      </c>
      <c r="E77" t="s">
        <v>408</v>
      </c>
      <c r="F77" t="s">
        <v>34</v>
      </c>
      <c r="G77">
        <v>310788898</v>
      </c>
      <c r="H77" t="s">
        <v>333</v>
      </c>
      <c r="I77" s="29" t="s">
        <v>28</v>
      </c>
      <c r="J77" s="29" t="s">
        <v>28</v>
      </c>
      <c r="K77" s="29" t="s">
        <v>28</v>
      </c>
      <c r="L77" s="29">
        <v>30</v>
      </c>
      <c r="M77" s="29">
        <v>0</v>
      </c>
      <c r="N77" s="29">
        <v>0</v>
      </c>
      <c r="O77" s="29"/>
      <c r="P77" s="29">
        <v>6476</v>
      </c>
      <c r="Q77" s="29" t="s">
        <v>28</v>
      </c>
      <c r="S77" s="30"/>
      <c r="T77" s="30"/>
      <c r="U77">
        <f>+VLOOKUP(D77,basev2!$C$5:$Q$173,14,0)</f>
        <v>0</v>
      </c>
      <c r="V77" s="29" t="e">
        <f t="shared" si="1"/>
        <v>#VALUE!</v>
      </c>
    </row>
    <row r="78" spans="1:22">
      <c r="A78" t="s">
        <v>331</v>
      </c>
      <c r="B78">
        <v>2023</v>
      </c>
      <c r="C78">
        <v>31</v>
      </c>
      <c r="D78" s="62">
        <v>310790472</v>
      </c>
      <c r="E78" t="s">
        <v>409</v>
      </c>
      <c r="F78" t="s">
        <v>342</v>
      </c>
      <c r="G78">
        <v>310790464</v>
      </c>
      <c r="H78" t="s">
        <v>333</v>
      </c>
      <c r="I78" s="29" t="s">
        <v>28</v>
      </c>
      <c r="J78" s="29">
        <v>141</v>
      </c>
      <c r="K78" s="29">
        <v>51465</v>
      </c>
      <c r="L78" s="29">
        <v>60</v>
      </c>
      <c r="M78" s="29">
        <v>1526</v>
      </c>
      <c r="N78" s="29">
        <v>40369</v>
      </c>
      <c r="O78" s="29"/>
      <c r="P78" s="29">
        <v>14829</v>
      </c>
      <c r="Q78" s="29" t="s">
        <v>28</v>
      </c>
      <c r="S78" s="30">
        <v>0.7843971631205674</v>
      </c>
      <c r="T78" s="30">
        <v>0.7843971631205674</v>
      </c>
      <c r="U78">
        <f>+VLOOKUP(D78,basev2!$C$5:$Q$173,14,0)</f>
        <v>141</v>
      </c>
      <c r="V78" s="29">
        <f t="shared" si="1"/>
        <v>0</v>
      </c>
    </row>
    <row r="79" spans="1:22">
      <c r="A79" t="s">
        <v>331</v>
      </c>
      <c r="B79">
        <v>2023</v>
      </c>
      <c r="C79">
        <v>31</v>
      </c>
      <c r="D79" s="62">
        <v>310792635</v>
      </c>
      <c r="E79" t="s">
        <v>410</v>
      </c>
      <c r="F79" t="s">
        <v>342</v>
      </c>
      <c r="G79">
        <v>310002191</v>
      </c>
      <c r="H79" t="s">
        <v>333</v>
      </c>
      <c r="I79" s="29" t="s">
        <v>28</v>
      </c>
      <c r="J79" s="29">
        <v>108</v>
      </c>
      <c r="K79" s="29">
        <v>39420</v>
      </c>
      <c r="L79" s="29">
        <v>10</v>
      </c>
      <c r="M79" s="29">
        <v>587</v>
      </c>
      <c r="N79" s="29">
        <v>19392</v>
      </c>
      <c r="O79" s="29"/>
      <c r="P79" s="29">
        <v>11185</v>
      </c>
      <c r="Q79" s="29" t="s">
        <v>28</v>
      </c>
      <c r="S79" s="30">
        <v>0.49193302891933027</v>
      </c>
      <c r="T79" s="30">
        <v>0.49193302891933027</v>
      </c>
      <c r="U79">
        <f>+VLOOKUP(D79,basev2!$C$5:$Q$173,14,0)</f>
        <v>108</v>
      </c>
      <c r="V79" s="29">
        <f t="shared" si="1"/>
        <v>0</v>
      </c>
    </row>
    <row r="80" spans="1:22">
      <c r="A80" t="s">
        <v>331</v>
      </c>
      <c r="B80">
        <v>2023</v>
      </c>
      <c r="C80">
        <v>32</v>
      </c>
      <c r="D80" s="62">
        <v>320000086</v>
      </c>
      <c r="E80" t="s">
        <v>411</v>
      </c>
      <c r="F80" t="s">
        <v>23</v>
      </c>
      <c r="G80">
        <v>320780117</v>
      </c>
      <c r="H80" t="s">
        <v>333</v>
      </c>
      <c r="I80" s="29" t="s">
        <v>28</v>
      </c>
      <c r="J80" s="29">
        <v>34</v>
      </c>
      <c r="K80" s="29">
        <v>12410</v>
      </c>
      <c r="L80" s="29">
        <v>9</v>
      </c>
      <c r="M80" s="29">
        <v>320</v>
      </c>
      <c r="N80" s="29">
        <v>8979</v>
      </c>
      <c r="O80" s="29"/>
      <c r="P80" s="29">
        <v>2085</v>
      </c>
      <c r="Q80" s="29" t="s">
        <v>28</v>
      </c>
      <c r="S80" s="30">
        <v>0.72352941176470587</v>
      </c>
      <c r="T80" s="30">
        <v>0.72352941176470587</v>
      </c>
      <c r="U80">
        <f>+VLOOKUP(G80,basev2!$C$5:$Q$173,14,0)</f>
        <v>34</v>
      </c>
      <c r="V80" s="29">
        <f t="shared" si="1"/>
        <v>0</v>
      </c>
    </row>
    <row r="81" spans="1:22">
      <c r="A81" t="s">
        <v>331</v>
      </c>
      <c r="B81">
        <v>2023</v>
      </c>
      <c r="C81">
        <v>32</v>
      </c>
      <c r="D81" s="62">
        <v>320000102</v>
      </c>
      <c r="E81" t="s">
        <v>109</v>
      </c>
      <c r="F81" t="s">
        <v>23</v>
      </c>
      <c r="G81">
        <v>320780133</v>
      </c>
      <c r="H81" t="s">
        <v>333</v>
      </c>
      <c r="I81" s="29" t="s">
        <v>28</v>
      </c>
      <c r="J81" s="29">
        <v>20</v>
      </c>
      <c r="K81" s="29">
        <v>7300</v>
      </c>
      <c r="L81" s="29"/>
      <c r="M81" s="29">
        <v>171</v>
      </c>
      <c r="N81" s="29">
        <v>4835</v>
      </c>
      <c r="O81" s="29"/>
      <c r="P81" s="29">
        <v>0</v>
      </c>
      <c r="Q81" s="29" t="s">
        <v>28</v>
      </c>
      <c r="S81" s="30">
        <v>0.6623287671232877</v>
      </c>
      <c r="T81" s="30">
        <v>0.6623287671232877</v>
      </c>
      <c r="U81">
        <f>+VLOOKUP(G81,basev2!$C$5:$Q$173,14,0)</f>
        <v>20</v>
      </c>
      <c r="V81" s="29">
        <f t="shared" si="1"/>
        <v>0</v>
      </c>
    </row>
    <row r="82" spans="1:22">
      <c r="A82" t="s">
        <v>331</v>
      </c>
      <c r="B82">
        <v>2023</v>
      </c>
      <c r="C82">
        <v>32</v>
      </c>
      <c r="D82" s="62">
        <v>320000110</v>
      </c>
      <c r="E82" t="s">
        <v>412</v>
      </c>
      <c r="F82" t="s">
        <v>23</v>
      </c>
      <c r="G82">
        <v>320004310</v>
      </c>
      <c r="H82" t="s">
        <v>333</v>
      </c>
      <c r="I82" s="29" t="s">
        <v>28</v>
      </c>
      <c r="J82" s="29">
        <v>24</v>
      </c>
      <c r="K82" s="29">
        <v>8760</v>
      </c>
      <c r="L82" s="29">
        <v>0</v>
      </c>
      <c r="M82" s="29">
        <v>327</v>
      </c>
      <c r="N82" s="29">
        <v>7856</v>
      </c>
      <c r="O82" s="29"/>
      <c r="P82" s="29">
        <v>0</v>
      </c>
      <c r="Q82" s="29" t="s">
        <v>28</v>
      </c>
      <c r="S82" s="30">
        <v>0.89680365296803655</v>
      </c>
      <c r="T82" s="30">
        <v>0.89680365296803655</v>
      </c>
      <c r="U82">
        <f>+VLOOKUP(G82,basev2!$C$5:$Q$173,14,0)</f>
        <v>24</v>
      </c>
      <c r="V82" s="29">
        <f t="shared" si="1"/>
        <v>0</v>
      </c>
    </row>
    <row r="83" spans="1:22">
      <c r="A83" t="s">
        <v>331</v>
      </c>
      <c r="B83">
        <v>2023</v>
      </c>
      <c r="C83">
        <v>32</v>
      </c>
      <c r="D83" s="62">
        <v>320000128</v>
      </c>
      <c r="E83" t="s">
        <v>413</v>
      </c>
      <c r="F83" t="s">
        <v>23</v>
      </c>
      <c r="G83">
        <v>320780158</v>
      </c>
      <c r="H83" t="s">
        <v>333</v>
      </c>
      <c r="I83" s="29" t="s">
        <v>28</v>
      </c>
      <c r="J83" s="29">
        <v>15</v>
      </c>
      <c r="K83" s="29">
        <v>5475</v>
      </c>
      <c r="L83" s="29"/>
      <c r="M83" s="29">
        <v>179</v>
      </c>
      <c r="N83" s="29">
        <v>5439</v>
      </c>
      <c r="O83" s="29"/>
      <c r="P83" s="29">
        <v>0</v>
      </c>
      <c r="Q83" s="29" t="s">
        <v>28</v>
      </c>
      <c r="S83" s="30">
        <v>0.99342465753424658</v>
      </c>
      <c r="T83" s="30">
        <v>0.99342465753424658</v>
      </c>
      <c r="U83">
        <f>+VLOOKUP(G83,basev2!$C$5:$Q$173,14,0)</f>
        <v>15</v>
      </c>
      <c r="V83" s="29">
        <f t="shared" si="1"/>
        <v>0</v>
      </c>
    </row>
    <row r="84" spans="1:22">
      <c r="A84" t="s">
        <v>331</v>
      </c>
      <c r="B84">
        <v>2023</v>
      </c>
      <c r="C84">
        <v>32</v>
      </c>
      <c r="D84" s="62">
        <v>320000144</v>
      </c>
      <c r="E84" t="s">
        <v>414</v>
      </c>
      <c r="F84" t="s">
        <v>23</v>
      </c>
      <c r="G84">
        <v>320780174</v>
      </c>
      <c r="H84" t="s">
        <v>333</v>
      </c>
      <c r="I84" s="29" t="s">
        <v>28</v>
      </c>
      <c r="J84" s="29">
        <v>30</v>
      </c>
      <c r="K84" s="29">
        <v>10950</v>
      </c>
      <c r="L84" s="29"/>
      <c r="M84" s="29">
        <v>284</v>
      </c>
      <c r="N84" s="29">
        <v>8973</v>
      </c>
      <c r="O84" s="29"/>
      <c r="P84" s="29">
        <v>0</v>
      </c>
      <c r="Q84" s="29" t="s">
        <v>28</v>
      </c>
      <c r="S84" s="30">
        <v>0.81945205479452055</v>
      </c>
      <c r="T84" s="30">
        <v>0.81945205479452055</v>
      </c>
      <c r="U84">
        <f>+VLOOKUP(G84,basev2!$C$5:$Q$173,14,0)</f>
        <v>30</v>
      </c>
      <c r="V84" s="29">
        <f t="shared" si="1"/>
        <v>0</v>
      </c>
    </row>
    <row r="85" spans="1:22">
      <c r="A85" t="s">
        <v>331</v>
      </c>
      <c r="B85">
        <v>2023</v>
      </c>
      <c r="C85">
        <v>32</v>
      </c>
      <c r="D85" s="62">
        <v>320000151</v>
      </c>
      <c r="E85" t="s">
        <v>415</v>
      </c>
      <c r="F85" t="s">
        <v>23</v>
      </c>
      <c r="G85">
        <v>320780182</v>
      </c>
      <c r="H85" t="s">
        <v>333</v>
      </c>
      <c r="I85" s="29" t="s">
        <v>28</v>
      </c>
      <c r="J85" s="29">
        <v>23</v>
      </c>
      <c r="K85" s="29">
        <v>8395</v>
      </c>
      <c r="L85" s="29"/>
      <c r="M85" s="29">
        <v>171</v>
      </c>
      <c r="N85" s="29">
        <v>5249</v>
      </c>
      <c r="O85" s="29"/>
      <c r="P85" s="29">
        <v>0</v>
      </c>
      <c r="Q85" s="29" t="s">
        <v>28</v>
      </c>
      <c r="S85" s="30">
        <v>0.62525312686122692</v>
      </c>
      <c r="T85" s="30">
        <v>0.62525312686122692</v>
      </c>
      <c r="U85">
        <f>+VLOOKUP(G85,basev2!$C$5:$Q$173,14,0)</f>
        <v>23</v>
      </c>
      <c r="V85" s="29">
        <f t="shared" si="1"/>
        <v>0</v>
      </c>
    </row>
    <row r="86" spans="1:22">
      <c r="A86" t="s">
        <v>331</v>
      </c>
      <c r="B86">
        <v>2023</v>
      </c>
      <c r="C86">
        <v>32</v>
      </c>
      <c r="D86" s="62">
        <v>320000169</v>
      </c>
      <c r="E86" t="s">
        <v>416</v>
      </c>
      <c r="F86" t="s">
        <v>23</v>
      </c>
      <c r="G86">
        <v>320780190</v>
      </c>
      <c r="H86" t="s">
        <v>333</v>
      </c>
      <c r="I86" s="29" t="s">
        <v>28</v>
      </c>
      <c r="J86" s="29">
        <v>20</v>
      </c>
      <c r="K86" s="29">
        <v>7300</v>
      </c>
      <c r="L86" s="29"/>
      <c r="M86" s="29">
        <v>220</v>
      </c>
      <c r="N86" s="29">
        <v>6605</v>
      </c>
      <c r="O86" s="29"/>
      <c r="P86" s="29" t="s">
        <v>28</v>
      </c>
      <c r="Q86" s="29" t="s">
        <v>28</v>
      </c>
      <c r="S86" s="30">
        <v>0.90479452054794518</v>
      </c>
      <c r="T86" s="30">
        <v>0.90479452054794518</v>
      </c>
      <c r="U86">
        <f>+VLOOKUP(G86,basev2!$C$5:$Q$173,14,0)</f>
        <v>20</v>
      </c>
      <c r="V86" s="29">
        <f t="shared" si="1"/>
        <v>0</v>
      </c>
    </row>
    <row r="87" spans="1:22">
      <c r="A87" t="s">
        <v>331</v>
      </c>
      <c r="B87">
        <v>2023</v>
      </c>
      <c r="C87">
        <v>32</v>
      </c>
      <c r="D87" s="62">
        <v>320000177</v>
      </c>
      <c r="E87" t="s">
        <v>417</v>
      </c>
      <c r="F87" t="s">
        <v>23</v>
      </c>
      <c r="G87">
        <v>320780208</v>
      </c>
      <c r="H87" t="s">
        <v>333</v>
      </c>
      <c r="I87" s="29" t="s">
        <v>28</v>
      </c>
      <c r="J87" s="29">
        <v>25</v>
      </c>
      <c r="K87" s="29">
        <v>9125</v>
      </c>
      <c r="L87" s="29"/>
      <c r="M87" s="29">
        <v>275</v>
      </c>
      <c r="N87" s="29">
        <v>7198</v>
      </c>
      <c r="O87" s="29"/>
      <c r="P87" s="29">
        <v>0</v>
      </c>
      <c r="Q87" s="29" t="s">
        <v>28</v>
      </c>
      <c r="S87" s="30">
        <v>0.7888219178082192</v>
      </c>
      <c r="T87" s="30">
        <v>0.7888219178082192</v>
      </c>
      <c r="U87">
        <f>+VLOOKUP(G87,basev2!$C$5:$Q$173,14,0)</f>
        <v>25</v>
      </c>
      <c r="V87" s="29">
        <f t="shared" si="1"/>
        <v>0</v>
      </c>
    </row>
    <row r="88" spans="1:22">
      <c r="A88" t="s">
        <v>331</v>
      </c>
      <c r="B88">
        <v>2023</v>
      </c>
      <c r="C88">
        <v>32</v>
      </c>
      <c r="D88" s="62">
        <v>320000185</v>
      </c>
      <c r="E88" t="s">
        <v>418</v>
      </c>
      <c r="F88" t="s">
        <v>23</v>
      </c>
      <c r="G88">
        <v>320780216</v>
      </c>
      <c r="H88" t="s">
        <v>333</v>
      </c>
      <c r="I88" s="29" t="s">
        <v>28</v>
      </c>
      <c r="J88" s="29">
        <v>19</v>
      </c>
      <c r="K88" s="29">
        <v>6935</v>
      </c>
      <c r="L88" s="29"/>
      <c r="M88" s="29">
        <v>198</v>
      </c>
      <c r="N88" s="29">
        <v>5953</v>
      </c>
      <c r="O88" s="29"/>
      <c r="P88" s="29">
        <v>0</v>
      </c>
      <c r="Q88" s="29" t="s">
        <v>28</v>
      </c>
      <c r="S88" s="30">
        <v>0.85839942321557317</v>
      </c>
      <c r="T88" s="30">
        <v>0.85839942321557317</v>
      </c>
      <c r="U88">
        <f>+VLOOKUP(G88,basev2!$C$5:$Q$173,14,0)</f>
        <v>19</v>
      </c>
      <c r="V88" s="29">
        <f t="shared" si="1"/>
        <v>0</v>
      </c>
    </row>
    <row r="89" spans="1:22">
      <c r="A89" t="s">
        <v>331</v>
      </c>
      <c r="B89">
        <v>2023</v>
      </c>
      <c r="C89">
        <v>32</v>
      </c>
      <c r="D89" s="62">
        <v>320004930</v>
      </c>
      <c r="E89" t="s">
        <v>419</v>
      </c>
      <c r="F89" t="s">
        <v>342</v>
      </c>
      <c r="G89">
        <v>320000565</v>
      </c>
      <c r="H89" t="s">
        <v>333</v>
      </c>
      <c r="I89" s="29" t="s">
        <v>28</v>
      </c>
      <c r="J89" s="29">
        <v>135</v>
      </c>
      <c r="K89" s="29">
        <v>49275</v>
      </c>
      <c r="L89" s="29">
        <v>85</v>
      </c>
      <c r="M89" s="29">
        <v>652</v>
      </c>
      <c r="N89" s="29">
        <v>43765</v>
      </c>
      <c r="O89" s="29"/>
      <c r="P89" s="29">
        <v>5018</v>
      </c>
      <c r="Q89" s="29" t="s">
        <v>28</v>
      </c>
      <c r="S89" s="30">
        <v>0.88817858954845252</v>
      </c>
      <c r="T89" s="30">
        <v>0.88817858954845252</v>
      </c>
      <c r="U89">
        <f>+VLOOKUP(D89,basev2!$C$5:$Q$173,14,0)</f>
        <v>135</v>
      </c>
      <c r="V89" s="29">
        <f t="shared" si="1"/>
        <v>0</v>
      </c>
    </row>
    <row r="90" spans="1:22">
      <c r="A90" t="s">
        <v>331</v>
      </c>
      <c r="B90">
        <v>2023</v>
      </c>
      <c r="C90">
        <v>32</v>
      </c>
      <c r="D90" s="62">
        <v>320780323</v>
      </c>
      <c r="E90" t="s">
        <v>256</v>
      </c>
      <c r="F90" t="s">
        <v>34</v>
      </c>
      <c r="G90">
        <v>750810590</v>
      </c>
      <c r="H90" t="s">
        <v>333</v>
      </c>
      <c r="I90" s="29" t="s">
        <v>28</v>
      </c>
      <c r="J90" s="29">
        <v>6</v>
      </c>
      <c r="K90" s="29">
        <v>2190</v>
      </c>
      <c r="L90" s="29">
        <v>2</v>
      </c>
      <c r="M90" s="29">
        <v>145</v>
      </c>
      <c r="N90" s="29">
        <v>1205</v>
      </c>
      <c r="O90" s="29"/>
      <c r="P90" s="29">
        <v>25</v>
      </c>
      <c r="Q90" s="29" t="s">
        <v>28</v>
      </c>
      <c r="S90" s="30">
        <v>0.55022831050228316</v>
      </c>
      <c r="T90" s="30">
        <v>0.55022831050228316</v>
      </c>
      <c r="U90">
        <f>+VLOOKUP(D90,basev2!$C$5:$Q$173,14,0)</f>
        <v>55</v>
      </c>
      <c r="V90" s="29">
        <f t="shared" si="1"/>
        <v>49</v>
      </c>
    </row>
    <row r="91" spans="1:22">
      <c r="A91" t="s">
        <v>331</v>
      </c>
      <c r="B91">
        <v>2023</v>
      </c>
      <c r="C91">
        <v>34</v>
      </c>
      <c r="D91" s="62">
        <v>340000181</v>
      </c>
      <c r="E91" t="s">
        <v>420</v>
      </c>
      <c r="F91" t="s">
        <v>23</v>
      </c>
      <c r="G91">
        <v>340780469</v>
      </c>
      <c r="H91" t="s">
        <v>333</v>
      </c>
      <c r="I91" s="29" t="s">
        <v>28</v>
      </c>
      <c r="J91" s="29">
        <v>25</v>
      </c>
      <c r="K91" s="29">
        <v>9125</v>
      </c>
      <c r="L91" s="29"/>
      <c r="M91" s="29">
        <v>162</v>
      </c>
      <c r="N91" s="29">
        <v>7247</v>
      </c>
      <c r="O91" s="29"/>
      <c r="P91" s="29">
        <v>0</v>
      </c>
      <c r="Q91" s="29" t="s">
        <v>28</v>
      </c>
      <c r="S91" s="30">
        <v>0.79419178082191777</v>
      </c>
      <c r="T91" s="30">
        <v>0.79419178082191777</v>
      </c>
      <c r="U91">
        <f>+VLOOKUP(G91,basev2!$C$5:$Q$173,14,0)</f>
        <v>45</v>
      </c>
      <c r="V91" s="29">
        <f t="shared" si="1"/>
        <v>20</v>
      </c>
    </row>
    <row r="92" spans="1:22">
      <c r="A92" t="s">
        <v>331</v>
      </c>
      <c r="B92">
        <v>2023</v>
      </c>
      <c r="C92">
        <v>34</v>
      </c>
      <c r="D92" s="62">
        <v>340000215</v>
      </c>
      <c r="E92" t="s">
        <v>421</v>
      </c>
      <c r="F92" t="s">
        <v>23</v>
      </c>
      <c r="G92">
        <v>340780519</v>
      </c>
      <c r="H92" t="s">
        <v>333</v>
      </c>
      <c r="I92" s="29" t="s">
        <v>28</v>
      </c>
      <c r="J92" s="29">
        <v>18</v>
      </c>
      <c r="K92" s="29">
        <v>6570</v>
      </c>
      <c r="L92" s="29"/>
      <c r="M92" s="29">
        <v>261</v>
      </c>
      <c r="N92" s="29">
        <v>5826</v>
      </c>
      <c r="O92" s="29"/>
      <c r="P92" s="29">
        <v>0</v>
      </c>
      <c r="Q92" s="29" t="s">
        <v>28</v>
      </c>
      <c r="S92" s="30">
        <v>0.88675799086757989</v>
      </c>
      <c r="T92" s="30">
        <v>0.88675799086757989</v>
      </c>
      <c r="U92">
        <f>+VLOOKUP(G92,basev2!$C$5:$Q$173,14,0)</f>
        <v>18</v>
      </c>
      <c r="V92" s="29">
        <f t="shared" si="1"/>
        <v>0</v>
      </c>
    </row>
    <row r="93" spans="1:22">
      <c r="A93" t="s">
        <v>331</v>
      </c>
      <c r="B93">
        <v>2023</v>
      </c>
      <c r="C93">
        <v>34</v>
      </c>
      <c r="D93" s="62">
        <v>340000223</v>
      </c>
      <c r="E93" t="s">
        <v>422</v>
      </c>
      <c r="F93" t="s">
        <v>23</v>
      </c>
      <c r="G93">
        <v>340011295</v>
      </c>
      <c r="H93" t="s">
        <v>333</v>
      </c>
      <c r="I93" s="29" t="s">
        <v>28</v>
      </c>
      <c r="J93" s="29"/>
      <c r="K93" s="29"/>
      <c r="L93" s="29">
        <v>10</v>
      </c>
      <c r="M93" s="29">
        <v>0</v>
      </c>
      <c r="N93" s="29">
        <v>0</v>
      </c>
      <c r="O93" s="29"/>
      <c r="P93" s="29">
        <v>1596</v>
      </c>
      <c r="Q93" s="29" t="s">
        <v>28</v>
      </c>
      <c r="S93" s="30"/>
      <c r="T93" s="30"/>
      <c r="U93" t="e">
        <f>+VLOOKUP(D93,basev2!$C$5:$Q$173,14,0)</f>
        <v>#N/A</v>
      </c>
      <c r="V93" s="29" t="e">
        <f t="shared" si="1"/>
        <v>#N/A</v>
      </c>
    </row>
    <row r="94" spans="1:22">
      <c r="A94" t="s">
        <v>331</v>
      </c>
      <c r="B94">
        <v>2023</v>
      </c>
      <c r="C94">
        <v>34</v>
      </c>
      <c r="D94" s="62">
        <v>340000249</v>
      </c>
      <c r="E94" t="s">
        <v>423</v>
      </c>
      <c r="F94" t="s">
        <v>23</v>
      </c>
      <c r="G94">
        <v>340780543</v>
      </c>
      <c r="H94" t="s">
        <v>333</v>
      </c>
      <c r="I94" s="29" t="s">
        <v>28</v>
      </c>
      <c r="J94" s="29">
        <v>17</v>
      </c>
      <c r="K94" s="29">
        <v>6205</v>
      </c>
      <c r="L94" s="29"/>
      <c r="M94" s="29">
        <v>254</v>
      </c>
      <c r="N94" s="29">
        <v>5268</v>
      </c>
      <c r="O94" s="29"/>
      <c r="P94" s="29">
        <v>0</v>
      </c>
      <c r="Q94" s="29" t="s">
        <v>28</v>
      </c>
      <c r="S94" s="30">
        <v>0.8489927477840451</v>
      </c>
      <c r="T94" s="30">
        <v>0.8489927477840451</v>
      </c>
      <c r="U94">
        <f>+VLOOKUP(G94,basev2!$C$5:$Q$173,14,0)</f>
        <v>17</v>
      </c>
      <c r="V94" s="29">
        <f t="shared" si="1"/>
        <v>0</v>
      </c>
    </row>
    <row r="95" spans="1:22">
      <c r="A95" t="s">
        <v>331</v>
      </c>
      <c r="B95">
        <v>2023</v>
      </c>
      <c r="C95">
        <v>34</v>
      </c>
      <c r="D95" s="62">
        <v>340000439</v>
      </c>
      <c r="E95" t="s">
        <v>424</v>
      </c>
      <c r="F95" t="s">
        <v>34</v>
      </c>
      <c r="G95">
        <v>340780881</v>
      </c>
      <c r="H95" t="s">
        <v>333</v>
      </c>
      <c r="I95" s="29" t="s">
        <v>28</v>
      </c>
      <c r="J95" s="29">
        <v>68</v>
      </c>
      <c r="K95" s="29">
        <v>23059</v>
      </c>
      <c r="L95" s="29">
        <v>10</v>
      </c>
      <c r="M95" s="29">
        <v>763</v>
      </c>
      <c r="N95" s="29">
        <v>20796</v>
      </c>
      <c r="O95" s="29"/>
      <c r="P95" s="29">
        <v>2392</v>
      </c>
      <c r="Q95" s="29" t="s">
        <v>28</v>
      </c>
      <c r="S95" s="30">
        <v>0.83787268331990328</v>
      </c>
      <c r="T95" s="30">
        <v>0.90186044494557438</v>
      </c>
      <c r="U95">
        <f>+VLOOKUP(D95,basev2!$C$5:$Q$173,14,0)</f>
        <v>68</v>
      </c>
      <c r="V95" s="29">
        <f t="shared" si="1"/>
        <v>0</v>
      </c>
    </row>
    <row r="96" spans="1:22">
      <c r="A96" t="s">
        <v>331</v>
      </c>
      <c r="B96">
        <v>2023</v>
      </c>
      <c r="C96">
        <v>34</v>
      </c>
      <c r="D96" s="62">
        <v>340001064</v>
      </c>
      <c r="E96" t="s">
        <v>425</v>
      </c>
      <c r="F96" t="s">
        <v>34</v>
      </c>
      <c r="G96">
        <v>340013028</v>
      </c>
      <c r="H96" t="s">
        <v>333</v>
      </c>
      <c r="I96" s="29" t="s">
        <v>28</v>
      </c>
      <c r="J96" s="29">
        <v>62</v>
      </c>
      <c r="K96" s="29">
        <v>22568</v>
      </c>
      <c r="L96" s="29">
        <v>12</v>
      </c>
      <c r="M96" s="29">
        <v>319</v>
      </c>
      <c r="N96" s="29">
        <v>20873</v>
      </c>
      <c r="O96" s="29"/>
      <c r="P96" s="29">
        <v>3114</v>
      </c>
      <c r="Q96" s="29" t="s">
        <v>28</v>
      </c>
      <c r="S96" s="30">
        <v>0.92235969951391961</v>
      </c>
      <c r="T96" s="30">
        <v>0.9248936547323644</v>
      </c>
      <c r="U96">
        <f>+VLOOKUP(D96,basev2!$C$5:$Q$173,14,0)</f>
        <v>62</v>
      </c>
      <c r="V96" s="29">
        <f t="shared" si="1"/>
        <v>0</v>
      </c>
    </row>
    <row r="97" spans="1:22">
      <c r="A97" t="s">
        <v>331</v>
      </c>
      <c r="B97">
        <v>2023</v>
      </c>
      <c r="C97">
        <v>34</v>
      </c>
      <c r="D97" s="62">
        <v>340008176</v>
      </c>
      <c r="E97" t="s">
        <v>426</v>
      </c>
      <c r="F97" t="s">
        <v>23</v>
      </c>
      <c r="G97">
        <v>340780469</v>
      </c>
      <c r="H97" t="s">
        <v>333</v>
      </c>
      <c r="I97" s="29" t="s">
        <v>28</v>
      </c>
      <c r="J97" s="29">
        <v>20</v>
      </c>
      <c r="K97" s="29">
        <v>7300</v>
      </c>
      <c r="L97" s="29"/>
      <c r="M97" s="29">
        <v>189</v>
      </c>
      <c r="N97" s="29">
        <v>5379</v>
      </c>
      <c r="O97" s="29"/>
      <c r="P97" s="29">
        <v>0</v>
      </c>
      <c r="Q97" s="29" t="s">
        <v>28</v>
      </c>
      <c r="S97" s="30">
        <v>0.73684931506849316</v>
      </c>
      <c r="T97" s="30">
        <v>0.73684931506849316</v>
      </c>
      <c r="U97">
        <f>+VLOOKUP(G97,basev2!$C$5:$Q$173,14,0)</f>
        <v>45</v>
      </c>
      <c r="V97" s="29">
        <f t="shared" si="1"/>
        <v>25</v>
      </c>
    </row>
    <row r="98" spans="1:22">
      <c r="A98" t="s">
        <v>331</v>
      </c>
      <c r="B98">
        <v>2023</v>
      </c>
      <c r="C98">
        <v>34</v>
      </c>
      <c r="D98" s="62">
        <v>340008275</v>
      </c>
      <c r="E98" t="s">
        <v>427</v>
      </c>
      <c r="F98" t="s">
        <v>23</v>
      </c>
      <c r="G98">
        <v>340780477</v>
      </c>
      <c r="H98" t="s">
        <v>333</v>
      </c>
      <c r="I98" s="29" t="s">
        <v>28</v>
      </c>
      <c r="J98" s="29">
        <v>68</v>
      </c>
      <c r="K98" s="29">
        <v>24820</v>
      </c>
      <c r="L98" s="29">
        <v>1</v>
      </c>
      <c r="M98" s="29">
        <v>577</v>
      </c>
      <c r="N98" s="29">
        <v>18259</v>
      </c>
      <c r="O98" s="29"/>
      <c r="P98" s="29">
        <v>554</v>
      </c>
      <c r="Q98" s="29" t="s">
        <v>28</v>
      </c>
      <c r="S98" s="30">
        <v>0.73565672844480257</v>
      </c>
      <c r="T98" s="30">
        <v>0.73565672844480257</v>
      </c>
      <c r="U98">
        <f>+VLOOKUP(G98,basev2!$C$5:$Q$173,14,0)</f>
        <v>86</v>
      </c>
      <c r="V98" s="29">
        <f t="shared" si="1"/>
        <v>18</v>
      </c>
    </row>
    <row r="99" spans="1:22">
      <c r="A99" t="s">
        <v>331</v>
      </c>
      <c r="B99">
        <v>2023</v>
      </c>
      <c r="C99">
        <v>34</v>
      </c>
      <c r="D99" s="62">
        <v>340009018</v>
      </c>
      <c r="E99" t="s">
        <v>428</v>
      </c>
      <c r="F99" t="s">
        <v>342</v>
      </c>
      <c r="G99">
        <v>340008978</v>
      </c>
      <c r="H99" t="s">
        <v>333</v>
      </c>
      <c r="I99" s="29" t="s">
        <v>28</v>
      </c>
      <c r="J99" s="29">
        <v>130</v>
      </c>
      <c r="K99" s="29">
        <v>47450</v>
      </c>
      <c r="L99" s="29">
        <v>27</v>
      </c>
      <c r="M99" s="29">
        <v>1448</v>
      </c>
      <c r="N99" s="29">
        <v>41167</v>
      </c>
      <c r="O99" s="29"/>
      <c r="P99" s="29">
        <v>9473</v>
      </c>
      <c r="Q99" s="29" t="s">
        <v>28</v>
      </c>
      <c r="S99" s="30">
        <v>0.86758693361433092</v>
      </c>
      <c r="T99" s="30">
        <v>0.86758693361433092</v>
      </c>
      <c r="U99">
        <f>+VLOOKUP(D99,basev2!$C$5:$Q$173,14,0)</f>
        <v>130</v>
      </c>
      <c r="V99" s="29">
        <f t="shared" si="1"/>
        <v>0</v>
      </c>
    </row>
    <row r="100" spans="1:22">
      <c r="A100" t="s">
        <v>331</v>
      </c>
      <c r="B100">
        <v>2023</v>
      </c>
      <c r="C100">
        <v>34</v>
      </c>
      <c r="D100" s="62">
        <v>340017771</v>
      </c>
      <c r="E100" t="s">
        <v>429</v>
      </c>
      <c r="F100" t="s">
        <v>23</v>
      </c>
      <c r="G100">
        <v>340780055</v>
      </c>
      <c r="H100" t="s">
        <v>333</v>
      </c>
      <c r="I100" s="29" t="s">
        <v>28</v>
      </c>
      <c r="J100" s="29">
        <v>57</v>
      </c>
      <c r="K100" s="29">
        <v>17493</v>
      </c>
      <c r="L100" s="29"/>
      <c r="M100" s="29">
        <v>516</v>
      </c>
      <c r="N100" s="29">
        <v>15433</v>
      </c>
      <c r="O100" s="29"/>
      <c r="P100" s="29">
        <v>0</v>
      </c>
      <c r="Q100" s="29" t="s">
        <v>28</v>
      </c>
      <c r="S100" s="30">
        <v>0.74179283826003362</v>
      </c>
      <c r="T100" s="30">
        <v>0.8822386097296061</v>
      </c>
      <c r="U100">
        <f>+VLOOKUP(G100,basev2!$C$5:$Q$173,14,0)</f>
        <v>57</v>
      </c>
      <c r="V100" s="29">
        <f t="shared" si="1"/>
        <v>0</v>
      </c>
    </row>
    <row r="101" spans="1:22">
      <c r="A101" t="s">
        <v>331</v>
      </c>
      <c r="B101">
        <v>2023</v>
      </c>
      <c r="C101">
        <v>34</v>
      </c>
      <c r="D101" s="62">
        <v>340019090</v>
      </c>
      <c r="E101" t="s">
        <v>430</v>
      </c>
      <c r="F101" t="s">
        <v>342</v>
      </c>
      <c r="G101">
        <v>340019082</v>
      </c>
      <c r="H101" t="s">
        <v>333</v>
      </c>
      <c r="I101" s="29" t="s">
        <v>28</v>
      </c>
      <c r="J101" s="29">
        <v>107</v>
      </c>
      <c r="K101" s="29">
        <v>39055</v>
      </c>
      <c r="L101" s="29">
        <v>60</v>
      </c>
      <c r="M101" s="29">
        <v>607</v>
      </c>
      <c r="N101" s="29">
        <v>36287</v>
      </c>
      <c r="O101" s="29"/>
      <c r="P101" s="29">
        <v>14817</v>
      </c>
      <c r="Q101" s="29" t="s">
        <v>28</v>
      </c>
      <c r="S101" s="30">
        <v>0.92912559211368584</v>
      </c>
      <c r="T101" s="30">
        <v>0.92912559211368584</v>
      </c>
      <c r="U101">
        <f>+VLOOKUP(D101,basev2!$C$5:$Q$173,14,0)</f>
        <v>107</v>
      </c>
      <c r="V101" s="29">
        <f t="shared" si="1"/>
        <v>0</v>
      </c>
    </row>
    <row r="102" spans="1:22">
      <c r="A102" t="s">
        <v>331</v>
      </c>
      <c r="B102">
        <v>2023</v>
      </c>
      <c r="C102">
        <v>34</v>
      </c>
      <c r="D102" s="62">
        <v>340023258</v>
      </c>
      <c r="E102" t="s">
        <v>431</v>
      </c>
      <c r="F102" t="s">
        <v>342</v>
      </c>
      <c r="G102">
        <v>340023241</v>
      </c>
      <c r="H102" t="s">
        <v>333</v>
      </c>
      <c r="I102" s="29" t="s">
        <v>28</v>
      </c>
      <c r="J102" s="29">
        <v>79</v>
      </c>
      <c r="K102" s="29">
        <v>28835</v>
      </c>
      <c r="L102" s="29"/>
      <c r="M102" s="29">
        <v>807</v>
      </c>
      <c r="N102" s="29">
        <v>27206</v>
      </c>
      <c r="O102" s="29"/>
      <c r="P102" s="29">
        <v>0</v>
      </c>
      <c r="Q102" s="29" t="s">
        <v>28</v>
      </c>
      <c r="S102" s="30">
        <v>0.94350615571354257</v>
      </c>
      <c r="T102" s="30">
        <v>0.94350615571354257</v>
      </c>
      <c r="U102">
        <f>+VLOOKUP(D102,basev2!$C$5:$Q$173,14,0)</f>
        <v>79</v>
      </c>
      <c r="V102" s="29">
        <f t="shared" si="1"/>
        <v>0</v>
      </c>
    </row>
    <row r="103" spans="1:22">
      <c r="A103" t="s">
        <v>331</v>
      </c>
      <c r="B103">
        <v>2023</v>
      </c>
      <c r="C103">
        <v>34</v>
      </c>
      <c r="D103" s="62">
        <v>340024512</v>
      </c>
      <c r="E103" t="s">
        <v>124</v>
      </c>
      <c r="F103" t="s">
        <v>342</v>
      </c>
      <c r="G103">
        <v>340001825</v>
      </c>
      <c r="H103" t="s">
        <v>333</v>
      </c>
      <c r="I103" s="29" t="s">
        <v>28</v>
      </c>
      <c r="J103" s="29" t="s">
        <v>28</v>
      </c>
      <c r="K103" s="29" t="s">
        <v>28</v>
      </c>
      <c r="L103" s="29">
        <v>50</v>
      </c>
      <c r="M103" s="29">
        <v>0</v>
      </c>
      <c r="N103" s="29">
        <v>0</v>
      </c>
      <c r="O103" s="29"/>
      <c r="P103" s="29">
        <v>9344</v>
      </c>
      <c r="Q103" s="29" t="s">
        <v>28</v>
      </c>
      <c r="S103" s="30"/>
      <c r="T103" s="30"/>
      <c r="U103">
        <f>+VLOOKUP(D103,basev2!$C$5:$Q$173,14,0)</f>
        <v>0</v>
      </c>
      <c r="V103" s="29" t="e">
        <f t="shared" si="1"/>
        <v>#VALUE!</v>
      </c>
    </row>
    <row r="104" spans="1:22">
      <c r="A104" t="s">
        <v>331</v>
      </c>
      <c r="B104">
        <v>2023</v>
      </c>
      <c r="C104">
        <v>34</v>
      </c>
      <c r="D104" s="62">
        <v>340024546</v>
      </c>
      <c r="E104" t="s">
        <v>432</v>
      </c>
      <c r="F104" t="s">
        <v>342</v>
      </c>
      <c r="G104">
        <v>340000405</v>
      </c>
      <c r="H104" t="s">
        <v>333</v>
      </c>
      <c r="I104" s="29" t="s">
        <v>28</v>
      </c>
      <c r="J104" s="29">
        <v>82</v>
      </c>
      <c r="K104" s="29">
        <v>29930</v>
      </c>
      <c r="L104" s="29">
        <v>0</v>
      </c>
      <c r="M104" s="29">
        <v>744</v>
      </c>
      <c r="N104" s="29">
        <v>28218</v>
      </c>
      <c r="O104" s="29"/>
      <c r="P104" s="29">
        <v>0</v>
      </c>
      <c r="Q104" s="29" t="s">
        <v>28</v>
      </c>
      <c r="S104" s="30">
        <v>0.94279986635482793</v>
      </c>
      <c r="T104" s="30">
        <v>0.94279986635482793</v>
      </c>
      <c r="U104">
        <f>+VLOOKUP(D104,basev2!$C$5:$Q$173,14,0)</f>
        <v>82</v>
      </c>
      <c r="V104" s="29">
        <f t="shared" si="1"/>
        <v>0</v>
      </c>
    </row>
    <row r="105" spans="1:22">
      <c r="A105" t="s">
        <v>331</v>
      </c>
      <c r="B105">
        <v>2023</v>
      </c>
      <c r="C105">
        <v>34</v>
      </c>
      <c r="D105" s="62">
        <v>340027887</v>
      </c>
      <c r="E105" t="s">
        <v>126</v>
      </c>
      <c r="F105" t="s">
        <v>342</v>
      </c>
      <c r="G105">
        <v>340027879</v>
      </c>
      <c r="H105" t="s">
        <v>333</v>
      </c>
      <c r="I105" s="29" t="s">
        <v>28</v>
      </c>
      <c r="J105" s="29">
        <v>111</v>
      </c>
      <c r="K105" s="29">
        <v>13209</v>
      </c>
      <c r="L105" s="29">
        <v>40</v>
      </c>
      <c r="M105" s="29">
        <v>276</v>
      </c>
      <c r="N105" s="29">
        <v>7353</v>
      </c>
      <c r="O105" s="29"/>
      <c r="P105" s="29">
        <v>202</v>
      </c>
      <c r="Q105" s="29" t="s">
        <v>28</v>
      </c>
      <c r="S105" s="30">
        <v>0.18148833765272121</v>
      </c>
      <c r="T105" s="30">
        <v>0.55666590960708606</v>
      </c>
      <c r="U105">
        <f>+VLOOKUP(D105,basev2!$C$5:$Q$173,14,0)</f>
        <v>111</v>
      </c>
      <c r="V105" s="29">
        <f t="shared" si="1"/>
        <v>0</v>
      </c>
    </row>
    <row r="106" spans="1:22">
      <c r="A106" t="s">
        <v>331</v>
      </c>
      <c r="B106">
        <v>2023</v>
      </c>
      <c r="C106">
        <v>34</v>
      </c>
      <c r="D106" s="62">
        <v>340780196</v>
      </c>
      <c r="E106" t="s">
        <v>433</v>
      </c>
      <c r="F106" t="s">
        <v>342</v>
      </c>
      <c r="G106">
        <v>340798123</v>
      </c>
      <c r="H106" t="s">
        <v>333</v>
      </c>
      <c r="I106" s="29" t="s">
        <v>28</v>
      </c>
      <c r="J106" s="29">
        <v>80</v>
      </c>
      <c r="K106" s="29">
        <v>29200</v>
      </c>
      <c r="L106" s="29">
        <v>60</v>
      </c>
      <c r="M106" s="29">
        <v>962</v>
      </c>
      <c r="N106" s="29">
        <v>26008</v>
      </c>
      <c r="O106" s="29"/>
      <c r="P106" s="29">
        <v>7662</v>
      </c>
      <c r="Q106" s="29" t="s">
        <v>28</v>
      </c>
      <c r="S106" s="30">
        <v>0.89068493150684935</v>
      </c>
      <c r="T106" s="30">
        <v>0.89068493150684935</v>
      </c>
      <c r="U106">
        <f>+VLOOKUP(D106,basev2!$C$5:$Q$173,14,0)</f>
        <v>80</v>
      </c>
      <c r="V106" s="29">
        <f t="shared" si="1"/>
        <v>0</v>
      </c>
    </row>
    <row r="107" spans="1:22">
      <c r="A107" t="s">
        <v>331</v>
      </c>
      <c r="B107">
        <v>2023</v>
      </c>
      <c r="C107">
        <v>34</v>
      </c>
      <c r="D107" s="62">
        <v>340780212</v>
      </c>
      <c r="E107" t="s">
        <v>129</v>
      </c>
      <c r="F107" t="s">
        <v>342</v>
      </c>
      <c r="G107">
        <v>340796069</v>
      </c>
      <c r="H107" t="s">
        <v>333</v>
      </c>
      <c r="I107" s="29" t="s">
        <v>28</v>
      </c>
      <c r="J107" s="29">
        <v>179</v>
      </c>
      <c r="K107" s="29">
        <v>65335</v>
      </c>
      <c r="L107" s="29">
        <v>30</v>
      </c>
      <c r="M107" s="29">
        <v>1457</v>
      </c>
      <c r="N107" s="29">
        <v>57582</v>
      </c>
      <c r="O107" s="29"/>
      <c r="P107" s="29">
        <v>5348</v>
      </c>
      <c r="Q107" s="29" t="s">
        <v>28</v>
      </c>
      <c r="S107" s="30">
        <v>0.88133465983010639</v>
      </c>
      <c r="T107" s="30">
        <v>0.88133465983010639</v>
      </c>
      <c r="U107">
        <f>+VLOOKUP(D107,basev2!$C$5:$Q$173,14,0)</f>
        <v>187</v>
      </c>
      <c r="V107" s="29">
        <f t="shared" si="1"/>
        <v>8</v>
      </c>
    </row>
    <row r="108" spans="1:22">
      <c r="A108" t="s">
        <v>331</v>
      </c>
      <c r="B108">
        <v>2023</v>
      </c>
      <c r="C108">
        <v>34</v>
      </c>
      <c r="D108" s="62">
        <v>340780220</v>
      </c>
      <c r="E108" t="s">
        <v>434</v>
      </c>
      <c r="F108" t="s">
        <v>23</v>
      </c>
      <c r="G108">
        <v>340796358</v>
      </c>
      <c r="H108" t="s">
        <v>333</v>
      </c>
      <c r="I108" s="29" t="s">
        <v>28</v>
      </c>
      <c r="J108" s="29">
        <v>113</v>
      </c>
      <c r="K108" s="29">
        <v>41245</v>
      </c>
      <c r="L108" s="29">
        <v>19</v>
      </c>
      <c r="M108" s="29">
        <v>859</v>
      </c>
      <c r="N108" s="29">
        <v>36832</v>
      </c>
      <c r="O108" s="29"/>
      <c r="P108" s="29">
        <v>7186</v>
      </c>
      <c r="Q108" s="29" t="s">
        <v>28</v>
      </c>
      <c r="S108" s="30">
        <v>0.893005212753061</v>
      </c>
      <c r="T108" s="30">
        <v>0.893005212753061</v>
      </c>
      <c r="U108">
        <f>+VLOOKUP(G108,basev2!$C$5:$Q$173,14,0)</f>
        <v>113</v>
      </c>
      <c r="V108" s="29">
        <f t="shared" si="1"/>
        <v>0</v>
      </c>
    </row>
    <row r="109" spans="1:22">
      <c r="A109" t="s">
        <v>331</v>
      </c>
      <c r="B109">
        <v>2023</v>
      </c>
      <c r="C109">
        <v>34</v>
      </c>
      <c r="D109" s="62">
        <v>340780253</v>
      </c>
      <c r="E109" t="s">
        <v>435</v>
      </c>
      <c r="F109" t="s">
        <v>342</v>
      </c>
      <c r="G109">
        <v>340001387</v>
      </c>
      <c r="H109" t="s">
        <v>333</v>
      </c>
      <c r="I109" s="29" t="s">
        <v>28</v>
      </c>
      <c r="J109" s="29">
        <v>56</v>
      </c>
      <c r="K109" s="29">
        <v>20440</v>
      </c>
      <c r="L109" s="29"/>
      <c r="M109" s="29">
        <v>589</v>
      </c>
      <c r="N109" s="29">
        <v>18897</v>
      </c>
      <c r="O109" s="29"/>
      <c r="P109" s="29">
        <v>0</v>
      </c>
      <c r="Q109" s="29" t="s">
        <v>28</v>
      </c>
      <c r="S109" s="30">
        <v>0.92451076320939329</v>
      </c>
      <c r="T109" s="30">
        <v>0.92451076320939329</v>
      </c>
      <c r="U109">
        <f>+VLOOKUP(D109,basev2!$C$5:$Q$173,14,0)</f>
        <v>56</v>
      </c>
      <c r="V109" s="29">
        <f t="shared" si="1"/>
        <v>0</v>
      </c>
    </row>
    <row r="110" spans="1:22">
      <c r="A110" t="s">
        <v>331</v>
      </c>
      <c r="B110">
        <v>2023</v>
      </c>
      <c r="C110">
        <v>34</v>
      </c>
      <c r="D110" s="62">
        <v>340780436</v>
      </c>
      <c r="E110" t="s">
        <v>436</v>
      </c>
      <c r="F110" t="s">
        <v>23</v>
      </c>
      <c r="G110">
        <v>340011295</v>
      </c>
      <c r="H110" t="s">
        <v>333</v>
      </c>
      <c r="I110" s="29" t="s">
        <v>28</v>
      </c>
      <c r="J110" s="29">
        <v>15</v>
      </c>
      <c r="K110" s="29">
        <v>5475</v>
      </c>
      <c r="L110" s="29"/>
      <c r="M110" s="29">
        <v>182</v>
      </c>
      <c r="N110" s="29">
        <v>4805</v>
      </c>
      <c r="O110" s="29"/>
      <c r="P110" s="29">
        <v>0</v>
      </c>
      <c r="Q110" s="29" t="s">
        <v>28</v>
      </c>
      <c r="S110" s="30">
        <v>0.87762557077625569</v>
      </c>
      <c r="T110" s="30">
        <v>0.87762557077625569</v>
      </c>
      <c r="U110">
        <f>+VLOOKUP(G110,basev2!$C$5:$Q$173,14,0)</f>
        <v>72</v>
      </c>
      <c r="V110" s="29">
        <f t="shared" si="1"/>
        <v>57</v>
      </c>
    </row>
    <row r="111" spans="1:22">
      <c r="A111" t="s">
        <v>331</v>
      </c>
      <c r="B111">
        <v>2023</v>
      </c>
      <c r="C111">
        <v>34</v>
      </c>
      <c r="D111" s="62">
        <v>340780444</v>
      </c>
      <c r="E111" t="s">
        <v>437</v>
      </c>
      <c r="F111" t="s">
        <v>23</v>
      </c>
      <c r="G111">
        <v>340009893</v>
      </c>
      <c r="H111" t="s">
        <v>333</v>
      </c>
      <c r="I111" s="29" t="s">
        <v>28</v>
      </c>
      <c r="J111" s="29">
        <v>30</v>
      </c>
      <c r="K111" s="29">
        <v>10950</v>
      </c>
      <c r="L111" s="29">
        <v>0</v>
      </c>
      <c r="M111" s="29">
        <v>214</v>
      </c>
      <c r="N111" s="29">
        <v>8435</v>
      </c>
      <c r="O111" s="29"/>
      <c r="P111" s="29">
        <v>0</v>
      </c>
      <c r="Q111" s="29" t="s">
        <v>28</v>
      </c>
      <c r="S111" s="30">
        <v>0.77031963470319631</v>
      </c>
      <c r="T111" s="30">
        <v>0.77031963470319631</v>
      </c>
      <c r="U111">
        <f>+VLOOKUP(G111,basev2!$C$5:$Q$173,14,0)</f>
        <v>30</v>
      </c>
      <c r="V111" s="29">
        <f t="shared" si="1"/>
        <v>0</v>
      </c>
    </row>
    <row r="112" spans="1:22">
      <c r="A112" t="s">
        <v>331</v>
      </c>
      <c r="B112">
        <v>2023</v>
      </c>
      <c r="C112">
        <v>34</v>
      </c>
      <c r="D112" s="62">
        <v>340780568</v>
      </c>
      <c r="E112" t="s">
        <v>438</v>
      </c>
      <c r="F112" t="s">
        <v>342</v>
      </c>
      <c r="G112">
        <v>340000256</v>
      </c>
      <c r="H112" t="s">
        <v>333</v>
      </c>
      <c r="I112" s="29" t="s">
        <v>28</v>
      </c>
      <c r="J112" s="29">
        <v>50</v>
      </c>
      <c r="K112" s="29">
        <v>17885</v>
      </c>
      <c r="L112" s="29">
        <v>10</v>
      </c>
      <c r="M112" s="29">
        <v>973</v>
      </c>
      <c r="N112" s="29">
        <v>23779</v>
      </c>
      <c r="O112" s="29"/>
      <c r="P112" s="29">
        <v>2133</v>
      </c>
      <c r="Q112" s="29" t="s">
        <v>28</v>
      </c>
      <c r="S112" s="30">
        <v>1.302958904109589</v>
      </c>
      <c r="T112" s="30">
        <v>1.3295499021526418</v>
      </c>
      <c r="U112">
        <f>+VLOOKUP(D112,basev2!$C$5:$Q$173,14,0)</f>
        <v>50</v>
      </c>
      <c r="V112" s="29">
        <f t="shared" si="1"/>
        <v>0</v>
      </c>
    </row>
    <row r="113" spans="1:22">
      <c r="A113" t="s">
        <v>331</v>
      </c>
      <c r="B113">
        <v>2023</v>
      </c>
      <c r="C113">
        <v>34</v>
      </c>
      <c r="D113" s="62">
        <v>340780816</v>
      </c>
      <c r="E113" t="s">
        <v>439</v>
      </c>
      <c r="F113" t="s">
        <v>34</v>
      </c>
      <c r="G113">
        <v>340023209</v>
      </c>
      <c r="H113" t="s">
        <v>333</v>
      </c>
      <c r="I113" s="29" t="s">
        <v>28</v>
      </c>
      <c r="J113" s="29">
        <v>107</v>
      </c>
      <c r="K113" s="29">
        <v>39055</v>
      </c>
      <c r="L113" s="29"/>
      <c r="M113" s="29">
        <v>516</v>
      </c>
      <c r="N113" s="29">
        <v>17844</v>
      </c>
      <c r="O113" s="29"/>
      <c r="P113" s="29">
        <v>0</v>
      </c>
      <c r="Q113" s="29" t="s">
        <v>28</v>
      </c>
      <c r="S113" s="30">
        <v>0.45689412367174498</v>
      </c>
      <c r="T113" s="30">
        <v>0.45689412367174498</v>
      </c>
      <c r="U113">
        <f>+VLOOKUP(D113,basev2!$C$5:$Q$173,14,0)</f>
        <v>107</v>
      </c>
      <c r="V113" s="29">
        <f t="shared" si="1"/>
        <v>0</v>
      </c>
    </row>
    <row r="114" spans="1:22">
      <c r="A114" t="s">
        <v>331</v>
      </c>
      <c r="B114">
        <v>2023</v>
      </c>
      <c r="C114">
        <v>34</v>
      </c>
      <c r="D114" s="62">
        <v>340780857</v>
      </c>
      <c r="E114" t="s">
        <v>440</v>
      </c>
      <c r="F114" t="s">
        <v>342</v>
      </c>
      <c r="G114">
        <v>340000421</v>
      </c>
      <c r="H114" t="s">
        <v>333</v>
      </c>
      <c r="I114" s="29" t="s">
        <v>28</v>
      </c>
      <c r="J114" s="29">
        <v>106</v>
      </c>
      <c r="K114" s="29">
        <v>38325</v>
      </c>
      <c r="L114" s="29">
        <v>22</v>
      </c>
      <c r="M114" s="29">
        <v>1107</v>
      </c>
      <c r="N114" s="29">
        <v>33190</v>
      </c>
      <c r="O114" s="29"/>
      <c r="P114" s="29">
        <v>10781</v>
      </c>
      <c r="Q114" s="29" t="s">
        <v>28</v>
      </c>
      <c r="S114" s="30">
        <v>0.85784440423882136</v>
      </c>
      <c r="T114" s="30">
        <v>0.86601435094585777</v>
      </c>
      <c r="U114">
        <f>+VLOOKUP(D114,basev2!$C$5:$Q$173,14,0)</f>
        <v>106</v>
      </c>
      <c r="V114" s="29">
        <f t="shared" si="1"/>
        <v>0</v>
      </c>
    </row>
    <row r="115" spans="1:22">
      <c r="A115" t="s">
        <v>331</v>
      </c>
      <c r="B115">
        <v>2023</v>
      </c>
      <c r="C115">
        <v>34</v>
      </c>
      <c r="D115" s="62">
        <v>340781608</v>
      </c>
      <c r="E115" t="s">
        <v>441</v>
      </c>
      <c r="F115" t="s">
        <v>34</v>
      </c>
      <c r="G115">
        <v>340015171</v>
      </c>
      <c r="H115" t="s">
        <v>333</v>
      </c>
      <c r="I115" s="29" t="s">
        <v>28</v>
      </c>
      <c r="J115" s="29">
        <v>60</v>
      </c>
      <c r="K115" s="29">
        <v>21900</v>
      </c>
      <c r="L115" s="29">
        <v>13</v>
      </c>
      <c r="M115" s="29">
        <v>637</v>
      </c>
      <c r="N115" s="29">
        <v>15825</v>
      </c>
      <c r="O115" s="29"/>
      <c r="P115" s="29">
        <v>3492</v>
      </c>
      <c r="Q115" s="29" t="s">
        <v>28</v>
      </c>
      <c r="S115" s="30">
        <v>0.7226027397260274</v>
      </c>
      <c r="T115" s="30">
        <v>0.7226027397260274</v>
      </c>
      <c r="U115">
        <f>+VLOOKUP(D115,basev2!$C$5:$Q$173,14,0)</f>
        <v>60</v>
      </c>
      <c r="V115" s="29">
        <f t="shared" si="1"/>
        <v>0</v>
      </c>
    </row>
    <row r="116" spans="1:22">
      <c r="A116" t="s">
        <v>331</v>
      </c>
      <c r="B116">
        <v>2023</v>
      </c>
      <c r="C116">
        <v>34</v>
      </c>
      <c r="D116" s="62">
        <v>340782002</v>
      </c>
      <c r="E116" t="s">
        <v>442</v>
      </c>
      <c r="F116" t="s">
        <v>342</v>
      </c>
      <c r="G116">
        <v>340000629</v>
      </c>
      <c r="H116" t="s">
        <v>333</v>
      </c>
      <c r="I116" s="29" t="s">
        <v>28</v>
      </c>
      <c r="J116" s="29">
        <v>73</v>
      </c>
      <c r="K116" s="29">
        <v>29930</v>
      </c>
      <c r="L116" s="29">
        <v>9</v>
      </c>
      <c r="M116" s="29">
        <v>641</v>
      </c>
      <c r="N116" s="29">
        <v>23192</v>
      </c>
      <c r="O116" s="29"/>
      <c r="P116" s="29">
        <v>2390</v>
      </c>
      <c r="Q116" s="29" t="s">
        <v>28</v>
      </c>
      <c r="S116" s="30">
        <v>0.87040720585475695</v>
      </c>
      <c r="T116" s="30">
        <v>0.77487470765118605</v>
      </c>
      <c r="U116">
        <f>+VLOOKUP(D116,basev2!$C$5:$Q$173,14,0)</f>
        <v>73</v>
      </c>
      <c r="V116" s="29">
        <f t="shared" si="1"/>
        <v>0</v>
      </c>
    </row>
    <row r="117" spans="1:22">
      <c r="A117" t="s">
        <v>331</v>
      </c>
      <c r="B117">
        <v>2023</v>
      </c>
      <c r="C117">
        <v>34</v>
      </c>
      <c r="D117" s="62">
        <v>340785161</v>
      </c>
      <c r="E117" t="s">
        <v>443</v>
      </c>
      <c r="F117" t="s">
        <v>23</v>
      </c>
      <c r="G117">
        <v>340780477</v>
      </c>
      <c r="H117" t="s">
        <v>333</v>
      </c>
      <c r="I117" s="29" t="s">
        <v>28</v>
      </c>
      <c r="J117" s="29">
        <v>18</v>
      </c>
      <c r="K117" s="29">
        <v>4755</v>
      </c>
      <c r="L117" s="29">
        <v>20</v>
      </c>
      <c r="M117" s="29">
        <v>594</v>
      </c>
      <c r="N117" s="29">
        <v>3320</v>
      </c>
      <c r="O117" s="29"/>
      <c r="P117" s="29">
        <v>6345</v>
      </c>
      <c r="Q117" s="29" t="s">
        <v>28</v>
      </c>
      <c r="S117" s="30">
        <v>0.50532724505327242</v>
      </c>
      <c r="T117" s="30">
        <v>0.69821240799158779</v>
      </c>
      <c r="U117">
        <f>+VLOOKUP(G117,basev2!$C$5:$Q$173,14,0)</f>
        <v>86</v>
      </c>
      <c r="V117" s="29">
        <f t="shared" si="1"/>
        <v>68</v>
      </c>
    </row>
    <row r="118" spans="1:22">
      <c r="A118" t="s">
        <v>331</v>
      </c>
      <c r="B118">
        <v>2023</v>
      </c>
      <c r="C118">
        <v>34</v>
      </c>
      <c r="D118" s="62">
        <v>340789981</v>
      </c>
      <c r="E118" t="s">
        <v>444</v>
      </c>
      <c r="F118" t="s">
        <v>342</v>
      </c>
      <c r="G118">
        <v>340001866</v>
      </c>
      <c r="H118" t="s">
        <v>333</v>
      </c>
      <c r="I118" s="29" t="s">
        <v>28</v>
      </c>
      <c r="J118" s="29">
        <v>105</v>
      </c>
      <c r="K118" s="29">
        <v>37960</v>
      </c>
      <c r="L118" s="29">
        <v>28</v>
      </c>
      <c r="M118" s="29">
        <v>1001</v>
      </c>
      <c r="N118" s="29">
        <v>31330</v>
      </c>
      <c r="O118" s="29"/>
      <c r="P118" s="29">
        <v>10866</v>
      </c>
      <c r="Q118" s="29" t="s">
        <v>28</v>
      </c>
      <c r="S118" s="30">
        <v>0.81748206131767776</v>
      </c>
      <c r="T118" s="30">
        <v>0.82534246575342463</v>
      </c>
      <c r="U118">
        <f>+VLOOKUP(D118,basev2!$C$5:$Q$173,14,0)</f>
        <v>105</v>
      </c>
      <c r="V118" s="29">
        <f t="shared" si="1"/>
        <v>0</v>
      </c>
    </row>
    <row r="119" spans="1:22">
      <c r="A119" t="s">
        <v>331</v>
      </c>
      <c r="B119">
        <v>2023</v>
      </c>
      <c r="C119">
        <v>34</v>
      </c>
      <c r="D119" s="62">
        <v>340796051</v>
      </c>
      <c r="E119" t="s">
        <v>445</v>
      </c>
      <c r="F119" t="s">
        <v>23</v>
      </c>
      <c r="G119">
        <v>340011295</v>
      </c>
      <c r="H119" t="s">
        <v>333</v>
      </c>
      <c r="I119" s="29" t="s">
        <v>28</v>
      </c>
      <c r="J119" s="29">
        <v>57</v>
      </c>
      <c r="K119" s="29">
        <v>20805</v>
      </c>
      <c r="L119" s="29">
        <v>0</v>
      </c>
      <c r="M119" s="29">
        <v>632</v>
      </c>
      <c r="N119" s="29">
        <v>18338</v>
      </c>
      <c r="O119" s="29"/>
      <c r="P119" s="29">
        <v>0</v>
      </c>
      <c r="Q119" s="29" t="s">
        <v>28</v>
      </c>
      <c r="S119" s="30">
        <v>0.88142273491949052</v>
      </c>
      <c r="T119" s="30">
        <v>0.88142273491949052</v>
      </c>
      <c r="U119">
        <f>+VLOOKUP(G119,basev2!$C$5:$Q$173,14,0)</f>
        <v>72</v>
      </c>
      <c r="V119" s="29">
        <f t="shared" si="1"/>
        <v>15</v>
      </c>
    </row>
    <row r="120" spans="1:22">
      <c r="A120" t="s">
        <v>331</v>
      </c>
      <c r="B120">
        <v>2023</v>
      </c>
      <c r="C120">
        <v>34</v>
      </c>
      <c r="D120" s="62">
        <v>340796093</v>
      </c>
      <c r="E120" t="s">
        <v>446</v>
      </c>
      <c r="F120" t="s">
        <v>342</v>
      </c>
      <c r="G120">
        <v>340796069</v>
      </c>
      <c r="H120" t="s">
        <v>333</v>
      </c>
      <c r="I120" s="29" t="s">
        <v>28</v>
      </c>
      <c r="J120" s="29">
        <v>90</v>
      </c>
      <c r="K120" s="29">
        <v>30906</v>
      </c>
      <c r="L120" s="29">
        <v>50</v>
      </c>
      <c r="M120" s="29">
        <v>988</v>
      </c>
      <c r="N120" s="29">
        <v>26441</v>
      </c>
      <c r="O120" s="29"/>
      <c r="P120" s="29">
        <v>10813</v>
      </c>
      <c r="Q120" s="29" t="s">
        <v>28</v>
      </c>
      <c r="S120" s="30">
        <v>0.80490106544901063</v>
      </c>
      <c r="T120" s="30">
        <v>0.85552967061412022</v>
      </c>
      <c r="U120">
        <f>+VLOOKUP(D120,basev2!$C$5:$Q$173,14,0)</f>
        <v>90</v>
      </c>
      <c r="V120" s="29">
        <f t="shared" si="1"/>
        <v>0</v>
      </c>
    </row>
    <row r="121" spans="1:22">
      <c r="A121" t="s">
        <v>331</v>
      </c>
      <c r="B121">
        <v>2023</v>
      </c>
      <c r="C121">
        <v>34</v>
      </c>
      <c r="D121" s="62">
        <v>340797596</v>
      </c>
      <c r="E121" t="s">
        <v>447</v>
      </c>
      <c r="F121" t="s">
        <v>342</v>
      </c>
      <c r="G121">
        <v>920030269</v>
      </c>
      <c r="H121" t="s">
        <v>333</v>
      </c>
      <c r="I121" s="29" t="s">
        <v>28</v>
      </c>
      <c r="J121" s="29">
        <v>73</v>
      </c>
      <c r="K121" s="29">
        <v>26645</v>
      </c>
      <c r="L121" s="29"/>
      <c r="M121" s="29">
        <v>545</v>
      </c>
      <c r="N121" s="29">
        <v>26565</v>
      </c>
      <c r="O121" s="29"/>
      <c r="P121" s="29">
        <v>0</v>
      </c>
      <c r="Q121" s="29" t="s">
        <v>28</v>
      </c>
      <c r="S121" s="30">
        <v>0.99699756051792077</v>
      </c>
      <c r="T121" s="30">
        <v>0.99699756051792077</v>
      </c>
      <c r="U121">
        <f>+VLOOKUP(D121,basev2!$C$5:$Q$173,14,0)</f>
        <v>73</v>
      </c>
      <c r="V121" s="29">
        <f t="shared" si="1"/>
        <v>0</v>
      </c>
    </row>
    <row r="122" spans="1:22">
      <c r="A122" t="s">
        <v>331</v>
      </c>
      <c r="B122">
        <v>2023</v>
      </c>
      <c r="C122">
        <v>34</v>
      </c>
      <c r="D122" s="62">
        <v>340798552</v>
      </c>
      <c r="E122" t="s">
        <v>448</v>
      </c>
      <c r="F122" t="s">
        <v>342</v>
      </c>
      <c r="G122">
        <v>340798545</v>
      </c>
      <c r="H122" t="s">
        <v>333</v>
      </c>
      <c r="I122" s="29" t="s">
        <v>28</v>
      </c>
      <c r="J122" s="29">
        <v>80</v>
      </c>
      <c r="K122" s="29">
        <v>29200</v>
      </c>
      <c r="L122" s="29"/>
      <c r="M122" s="29">
        <v>808</v>
      </c>
      <c r="N122" s="29">
        <v>28849</v>
      </c>
      <c r="O122" s="29"/>
      <c r="P122" s="29">
        <v>0</v>
      </c>
      <c r="Q122" s="29" t="s">
        <v>28</v>
      </c>
      <c r="S122" s="30">
        <v>0.98797945205479454</v>
      </c>
      <c r="T122" s="30">
        <v>0.98797945205479454</v>
      </c>
      <c r="U122">
        <f>+VLOOKUP(D122,basev2!$C$5:$Q$173,14,0)</f>
        <v>80</v>
      </c>
      <c r="V122" s="29">
        <f t="shared" si="1"/>
        <v>0</v>
      </c>
    </row>
    <row r="123" spans="1:22">
      <c r="A123" t="s">
        <v>331</v>
      </c>
      <c r="B123">
        <v>2023</v>
      </c>
      <c r="C123">
        <v>46</v>
      </c>
      <c r="D123" s="62">
        <v>460000052</v>
      </c>
      <c r="E123" t="s">
        <v>449</v>
      </c>
      <c r="F123" t="s">
        <v>23</v>
      </c>
      <c r="G123">
        <v>460780091</v>
      </c>
      <c r="H123" t="s">
        <v>333</v>
      </c>
      <c r="I123" s="29" t="s">
        <v>28</v>
      </c>
      <c r="J123" s="29">
        <v>29</v>
      </c>
      <c r="K123" s="29">
        <v>10585</v>
      </c>
      <c r="L123" s="29"/>
      <c r="M123" s="29">
        <v>258</v>
      </c>
      <c r="N123" s="29">
        <v>7964</v>
      </c>
      <c r="O123" s="29"/>
      <c r="P123" s="29">
        <v>0</v>
      </c>
      <c r="Q123" s="29" t="s">
        <v>28</v>
      </c>
      <c r="S123" s="30">
        <v>0.75238545111006139</v>
      </c>
      <c r="T123" s="30">
        <v>0.75238545111006139</v>
      </c>
      <c r="U123">
        <f>+VLOOKUP(G123,basev2!$C$5:$Q$173,14,0)</f>
        <v>29</v>
      </c>
      <c r="V123" s="29">
        <f t="shared" si="1"/>
        <v>0</v>
      </c>
    </row>
    <row r="124" spans="1:22">
      <c r="A124" t="s">
        <v>331</v>
      </c>
      <c r="B124">
        <v>2023</v>
      </c>
      <c r="C124">
        <v>46</v>
      </c>
      <c r="D124" s="62">
        <v>460000060</v>
      </c>
      <c r="E124" t="s">
        <v>450</v>
      </c>
      <c r="F124" t="s">
        <v>34</v>
      </c>
      <c r="G124">
        <v>460780117</v>
      </c>
      <c r="H124" t="s">
        <v>333</v>
      </c>
      <c r="I124" s="29" t="s">
        <v>28</v>
      </c>
      <c r="J124" s="29">
        <v>130</v>
      </c>
      <c r="K124" s="29">
        <v>47450</v>
      </c>
      <c r="L124" s="29">
        <v>5</v>
      </c>
      <c r="M124" s="29">
        <v>1896</v>
      </c>
      <c r="N124" s="29">
        <v>32348</v>
      </c>
      <c r="O124" s="29"/>
      <c r="P124" s="29">
        <v>3205</v>
      </c>
      <c r="Q124" s="29" t="s">
        <v>28</v>
      </c>
      <c r="S124" s="30">
        <v>0.68172813487881978</v>
      </c>
      <c r="T124" s="30">
        <v>0.68172813487881978</v>
      </c>
      <c r="U124">
        <f>+VLOOKUP(D124,basev2!$C$5:$Q$173,14,0)</f>
        <v>130</v>
      </c>
      <c r="V124" s="29">
        <f t="shared" si="1"/>
        <v>0</v>
      </c>
    </row>
    <row r="125" spans="1:22">
      <c r="A125" t="s">
        <v>331</v>
      </c>
      <c r="B125">
        <v>2023</v>
      </c>
      <c r="C125">
        <v>46</v>
      </c>
      <c r="D125" s="62">
        <v>460000102</v>
      </c>
      <c r="E125" t="s">
        <v>451</v>
      </c>
      <c r="F125" t="s">
        <v>23</v>
      </c>
      <c r="G125">
        <v>460780208</v>
      </c>
      <c r="H125" t="s">
        <v>333</v>
      </c>
      <c r="I125" s="29" t="s">
        <v>28</v>
      </c>
      <c r="J125" s="29">
        <v>41</v>
      </c>
      <c r="K125" s="29">
        <v>14965</v>
      </c>
      <c r="L125" s="29">
        <v>3</v>
      </c>
      <c r="M125" s="29">
        <v>277</v>
      </c>
      <c r="N125" s="29">
        <v>7385</v>
      </c>
      <c r="O125" s="29"/>
      <c r="P125" s="29">
        <v>1633</v>
      </c>
      <c r="Q125" s="29" t="s">
        <v>28</v>
      </c>
      <c r="S125" s="30">
        <v>0.49348479786167726</v>
      </c>
      <c r="T125" s="30">
        <v>0.49348479786167726</v>
      </c>
      <c r="U125">
        <f>+VLOOKUP(G125,basev2!$C$5:$Q$173,14,0)</f>
        <v>41</v>
      </c>
      <c r="V125" s="29">
        <f t="shared" si="1"/>
        <v>0</v>
      </c>
    </row>
    <row r="126" spans="1:22">
      <c r="A126" t="s">
        <v>331</v>
      </c>
      <c r="B126">
        <v>2023</v>
      </c>
      <c r="C126">
        <v>46</v>
      </c>
      <c r="D126" s="62">
        <v>460000110</v>
      </c>
      <c r="E126" t="s">
        <v>452</v>
      </c>
      <c r="F126" t="s">
        <v>23</v>
      </c>
      <c r="G126">
        <v>460780216</v>
      </c>
      <c r="H126" t="s">
        <v>333</v>
      </c>
      <c r="I126" s="29" t="s">
        <v>28</v>
      </c>
      <c r="J126" s="29" t="s">
        <v>28</v>
      </c>
      <c r="K126" s="29" t="s">
        <v>28</v>
      </c>
      <c r="L126" s="29">
        <v>10</v>
      </c>
      <c r="M126" s="29">
        <v>0</v>
      </c>
      <c r="N126" s="29">
        <v>0</v>
      </c>
      <c r="O126" s="29"/>
      <c r="P126" s="29">
        <v>2029</v>
      </c>
      <c r="Q126" s="29" t="s">
        <v>28</v>
      </c>
      <c r="S126" s="30"/>
      <c r="T126" s="30"/>
      <c r="U126" t="e">
        <f>+VLOOKUP(D126,basev2!$C$5:$Q$173,14,0)</f>
        <v>#N/A</v>
      </c>
      <c r="V126" s="29" t="e">
        <f t="shared" si="1"/>
        <v>#N/A</v>
      </c>
    </row>
    <row r="127" spans="1:22">
      <c r="A127" t="s">
        <v>331</v>
      </c>
      <c r="B127">
        <v>2023</v>
      </c>
      <c r="C127">
        <v>46</v>
      </c>
      <c r="D127" s="62">
        <v>460006083</v>
      </c>
      <c r="E127" t="s">
        <v>453</v>
      </c>
      <c r="F127" t="s">
        <v>34</v>
      </c>
      <c r="G127">
        <v>460785090</v>
      </c>
      <c r="H127" t="s">
        <v>333</v>
      </c>
      <c r="I127" s="29" t="s">
        <v>28</v>
      </c>
      <c r="J127" s="29">
        <v>30</v>
      </c>
      <c r="K127" s="29">
        <v>5840</v>
      </c>
      <c r="L127" s="29"/>
      <c r="M127" s="29">
        <v>160</v>
      </c>
      <c r="N127" s="29">
        <v>4848</v>
      </c>
      <c r="O127" s="29"/>
      <c r="P127" s="29">
        <v>0</v>
      </c>
      <c r="Q127" s="29" t="s">
        <v>28</v>
      </c>
      <c r="S127" s="30">
        <v>0.44273972602739725</v>
      </c>
      <c r="T127" s="30">
        <v>0.83013698630136989</v>
      </c>
      <c r="U127">
        <f>+VLOOKUP(D127,basev2!$C$5:$Q$173,14,0)</f>
        <v>30</v>
      </c>
      <c r="V127" s="29">
        <f t="shared" si="1"/>
        <v>0</v>
      </c>
    </row>
    <row r="128" spans="1:22">
      <c r="A128" t="s">
        <v>331</v>
      </c>
      <c r="B128">
        <v>2023</v>
      </c>
      <c r="C128">
        <v>46</v>
      </c>
      <c r="D128" s="62">
        <v>460006349</v>
      </c>
      <c r="E128" t="s">
        <v>454</v>
      </c>
      <c r="F128" t="s">
        <v>342</v>
      </c>
      <c r="G128">
        <v>460000029</v>
      </c>
      <c r="H128" t="s">
        <v>333</v>
      </c>
      <c r="I128" s="29" t="s">
        <v>28</v>
      </c>
      <c r="J128" s="29">
        <v>42</v>
      </c>
      <c r="K128" s="29">
        <v>15330</v>
      </c>
      <c r="L128" s="29"/>
      <c r="M128" s="29">
        <v>339</v>
      </c>
      <c r="N128" s="29">
        <v>14349</v>
      </c>
      <c r="O128" s="29"/>
      <c r="P128" s="29">
        <v>0</v>
      </c>
      <c r="Q128" s="29" t="s">
        <v>28</v>
      </c>
      <c r="S128" s="30">
        <v>0.93600782778864966</v>
      </c>
      <c r="T128" s="30">
        <v>0.93600782778864966</v>
      </c>
      <c r="U128">
        <f>+VLOOKUP(D128,basev2!$C$5:$Q$173,14,0)</f>
        <v>42</v>
      </c>
      <c r="V128" s="29">
        <f t="shared" si="1"/>
        <v>0</v>
      </c>
    </row>
    <row r="129" spans="1:22">
      <c r="A129" t="s">
        <v>331</v>
      </c>
      <c r="B129">
        <v>2023</v>
      </c>
      <c r="C129">
        <v>46</v>
      </c>
      <c r="D129" s="62">
        <v>460007842</v>
      </c>
      <c r="E129" t="s">
        <v>455</v>
      </c>
      <c r="F129" t="s">
        <v>23</v>
      </c>
      <c r="G129">
        <v>460780083</v>
      </c>
      <c r="H129" t="s">
        <v>333</v>
      </c>
      <c r="I129" s="29" t="s">
        <v>28</v>
      </c>
      <c r="J129" s="29">
        <v>37</v>
      </c>
      <c r="K129" s="29">
        <v>11804</v>
      </c>
      <c r="L129" s="29"/>
      <c r="M129" s="29">
        <v>371</v>
      </c>
      <c r="N129" s="29">
        <v>10274</v>
      </c>
      <c r="O129" s="29"/>
      <c r="P129" s="29">
        <v>0</v>
      </c>
      <c r="Q129" s="29" t="s">
        <v>28</v>
      </c>
      <c r="S129" s="30">
        <v>0.76075527582376901</v>
      </c>
      <c r="T129" s="30">
        <v>0.87038292104371395</v>
      </c>
      <c r="U129">
        <f>+VLOOKUP(G129,basev2!$C$5:$Q$173,14,0)</f>
        <v>37</v>
      </c>
      <c r="V129" s="29">
        <f t="shared" si="1"/>
        <v>0</v>
      </c>
    </row>
    <row r="130" spans="1:22">
      <c r="A130" t="s">
        <v>331</v>
      </c>
      <c r="B130">
        <v>2023</v>
      </c>
      <c r="C130">
        <v>46</v>
      </c>
      <c r="D130" s="62">
        <v>460780042</v>
      </c>
      <c r="E130" t="s">
        <v>456</v>
      </c>
      <c r="F130" t="s">
        <v>342</v>
      </c>
      <c r="G130">
        <v>460000029</v>
      </c>
      <c r="H130" t="s">
        <v>333</v>
      </c>
      <c r="I130" s="29" t="s">
        <v>28</v>
      </c>
      <c r="J130" s="29">
        <v>56</v>
      </c>
      <c r="K130" s="29">
        <v>20440</v>
      </c>
      <c r="L130" s="29">
        <v>0</v>
      </c>
      <c r="M130" s="29">
        <v>507</v>
      </c>
      <c r="N130" s="29">
        <v>22478</v>
      </c>
      <c r="O130" s="29"/>
      <c r="P130" s="29">
        <v>0</v>
      </c>
      <c r="Q130" s="29" t="s">
        <v>28</v>
      </c>
      <c r="S130" s="30">
        <v>1.0997064579256359</v>
      </c>
      <c r="T130" s="30">
        <v>1.0997064579256359</v>
      </c>
      <c r="U130">
        <f>+VLOOKUP(D130,basev2!$C$5:$Q$173,14,0)</f>
        <v>56</v>
      </c>
      <c r="V130" s="29">
        <f t="shared" si="1"/>
        <v>0</v>
      </c>
    </row>
    <row r="131" spans="1:22">
      <c r="A131" t="s">
        <v>331</v>
      </c>
      <c r="B131">
        <v>2023</v>
      </c>
      <c r="C131">
        <v>46</v>
      </c>
      <c r="D131" s="62">
        <v>460785900</v>
      </c>
      <c r="E131" t="s">
        <v>457</v>
      </c>
      <c r="F131" t="s">
        <v>342</v>
      </c>
      <c r="G131">
        <v>460002207</v>
      </c>
      <c r="H131" t="s">
        <v>333</v>
      </c>
      <c r="I131" s="29" t="s">
        <v>28</v>
      </c>
      <c r="J131" s="29">
        <v>38</v>
      </c>
      <c r="K131" s="29">
        <v>13870</v>
      </c>
      <c r="L131" s="29">
        <v>0</v>
      </c>
      <c r="M131" s="29">
        <v>393</v>
      </c>
      <c r="N131" s="29">
        <v>12496</v>
      </c>
      <c r="O131" s="29"/>
      <c r="P131" s="29">
        <v>0</v>
      </c>
      <c r="Q131" s="29" t="s">
        <v>28</v>
      </c>
      <c r="S131" s="30">
        <v>0.90093727469358331</v>
      </c>
      <c r="T131" s="30">
        <v>0.90093727469358331</v>
      </c>
      <c r="U131">
        <f>+VLOOKUP(D131,basev2!$C$5:$Q$173,14,0)</f>
        <v>38</v>
      </c>
      <c r="V131" s="29">
        <f t="shared" ref="V131:V181" si="2">+U131-J131</f>
        <v>0</v>
      </c>
    </row>
    <row r="132" spans="1:22">
      <c r="A132" t="s">
        <v>331</v>
      </c>
      <c r="B132">
        <v>2023</v>
      </c>
      <c r="C132">
        <v>48</v>
      </c>
      <c r="D132" s="62">
        <v>480000041</v>
      </c>
      <c r="E132" t="s">
        <v>458</v>
      </c>
      <c r="F132" t="s">
        <v>23</v>
      </c>
      <c r="G132">
        <v>480780139</v>
      </c>
      <c r="H132" t="s">
        <v>333</v>
      </c>
      <c r="I132" s="29" t="s">
        <v>28</v>
      </c>
      <c r="J132" s="29">
        <v>15</v>
      </c>
      <c r="K132" s="29">
        <v>5475</v>
      </c>
      <c r="L132" s="29">
        <v>0</v>
      </c>
      <c r="M132" s="29">
        <v>78</v>
      </c>
      <c r="N132" s="29">
        <v>2581</v>
      </c>
      <c r="O132" s="29"/>
      <c r="P132" s="29">
        <v>0</v>
      </c>
      <c r="Q132" s="29" t="s">
        <v>28</v>
      </c>
      <c r="S132" s="30">
        <v>0.47141552511415524</v>
      </c>
      <c r="T132" s="30">
        <v>0.47141552511415524</v>
      </c>
      <c r="U132">
        <f>+VLOOKUP(G132,basev2!$C$5:$Q$173,14,0)</f>
        <v>15</v>
      </c>
      <c r="V132" s="29">
        <f t="shared" si="2"/>
        <v>0</v>
      </c>
    </row>
    <row r="133" spans="1:22">
      <c r="A133" t="s">
        <v>331</v>
      </c>
      <c r="B133">
        <v>2023</v>
      </c>
      <c r="C133">
        <v>48</v>
      </c>
      <c r="D133" s="62">
        <v>480000066</v>
      </c>
      <c r="E133" t="s">
        <v>459</v>
      </c>
      <c r="F133" t="s">
        <v>23</v>
      </c>
      <c r="G133">
        <v>480780154</v>
      </c>
      <c r="H133" t="s">
        <v>333</v>
      </c>
      <c r="I133" s="29" t="s">
        <v>28</v>
      </c>
      <c r="J133" s="29">
        <v>20</v>
      </c>
      <c r="K133" s="29">
        <v>7300</v>
      </c>
      <c r="L133" s="29"/>
      <c r="M133" s="29">
        <v>210</v>
      </c>
      <c r="N133" s="29">
        <v>5887</v>
      </c>
      <c r="O133" s="29"/>
      <c r="P133" s="29">
        <v>0</v>
      </c>
      <c r="Q133" s="29" t="s">
        <v>28</v>
      </c>
      <c r="S133" s="30">
        <v>0.80643835616438353</v>
      </c>
      <c r="T133" s="30">
        <v>0.80643835616438353</v>
      </c>
      <c r="U133">
        <f>+VLOOKUP(G133,basev2!$C$5:$Q$173,14,0)</f>
        <v>20</v>
      </c>
      <c r="V133" s="29">
        <f t="shared" si="2"/>
        <v>0</v>
      </c>
    </row>
    <row r="134" spans="1:22">
      <c r="A134" t="s">
        <v>331</v>
      </c>
      <c r="B134">
        <v>2023</v>
      </c>
      <c r="C134">
        <v>48</v>
      </c>
      <c r="D134" s="62">
        <v>480000793</v>
      </c>
      <c r="E134" t="s">
        <v>460</v>
      </c>
      <c r="F134" t="s">
        <v>34</v>
      </c>
      <c r="G134">
        <v>480782101</v>
      </c>
      <c r="H134" t="s">
        <v>333</v>
      </c>
      <c r="I134" s="29" t="s">
        <v>28</v>
      </c>
      <c r="J134" s="29">
        <v>30</v>
      </c>
      <c r="K134" s="29">
        <v>10950</v>
      </c>
      <c r="L134" s="29">
        <v>3</v>
      </c>
      <c r="M134" s="29">
        <v>298</v>
      </c>
      <c r="N134" s="29">
        <v>7981</v>
      </c>
      <c r="O134" s="29"/>
      <c r="P134" s="29">
        <v>359</v>
      </c>
      <c r="Q134" s="29" t="s">
        <v>28</v>
      </c>
      <c r="S134" s="30">
        <v>0.72885844748858453</v>
      </c>
      <c r="T134" s="30">
        <v>0.72885844748858453</v>
      </c>
      <c r="U134">
        <f>+VLOOKUP(D134,basev2!$C$5:$Q$173,14,0)</f>
        <v>30</v>
      </c>
      <c r="V134" s="29">
        <f t="shared" si="2"/>
        <v>0</v>
      </c>
    </row>
    <row r="135" spans="1:22">
      <c r="A135" t="s">
        <v>331</v>
      </c>
      <c r="B135">
        <v>2023</v>
      </c>
      <c r="C135">
        <v>48</v>
      </c>
      <c r="D135" s="62">
        <v>480000835</v>
      </c>
      <c r="E135" t="s">
        <v>461</v>
      </c>
      <c r="F135" t="s">
        <v>34</v>
      </c>
      <c r="G135">
        <v>480782101</v>
      </c>
      <c r="H135" t="s">
        <v>333</v>
      </c>
      <c r="I135" s="29" t="s">
        <v>28</v>
      </c>
      <c r="J135" s="29">
        <v>28</v>
      </c>
      <c r="K135" s="29">
        <v>10220</v>
      </c>
      <c r="L135" s="29"/>
      <c r="M135" s="29">
        <v>218</v>
      </c>
      <c r="N135" s="29">
        <v>8319</v>
      </c>
      <c r="O135" s="29"/>
      <c r="P135" s="29">
        <v>0</v>
      </c>
      <c r="Q135" s="29" t="s">
        <v>28</v>
      </c>
      <c r="S135" s="30">
        <v>0.81399217221135034</v>
      </c>
      <c r="T135" s="30">
        <v>0.81399217221135034</v>
      </c>
      <c r="U135">
        <f>+VLOOKUP(D135,basev2!$C$5:$Q$173,14,0)</f>
        <v>28</v>
      </c>
      <c r="V135" s="29">
        <f t="shared" si="2"/>
        <v>0</v>
      </c>
    </row>
    <row r="136" spans="1:22">
      <c r="A136" t="s">
        <v>331</v>
      </c>
      <c r="B136">
        <v>2023</v>
      </c>
      <c r="C136">
        <v>48</v>
      </c>
      <c r="D136" s="62">
        <v>480780212</v>
      </c>
      <c r="E136" t="s">
        <v>462</v>
      </c>
      <c r="F136" t="s">
        <v>34</v>
      </c>
      <c r="G136">
        <v>480782168</v>
      </c>
      <c r="H136" t="s">
        <v>333</v>
      </c>
      <c r="I136" s="29" t="s">
        <v>28</v>
      </c>
      <c r="J136" s="29">
        <v>37</v>
      </c>
      <c r="K136" s="29">
        <v>13505</v>
      </c>
      <c r="L136" s="29"/>
      <c r="M136" s="29">
        <v>345</v>
      </c>
      <c r="N136" s="29">
        <v>11025</v>
      </c>
      <c r="O136" s="29"/>
      <c r="P136" s="29">
        <v>0</v>
      </c>
      <c r="Q136" s="29" t="s">
        <v>28</v>
      </c>
      <c r="S136" s="30">
        <v>0.8163643095149945</v>
      </c>
      <c r="T136" s="30">
        <v>0.8163643095149945</v>
      </c>
      <c r="U136">
        <f>+VLOOKUP(D136,basev2!$C$5:$Q$173,14,0)</f>
        <v>37</v>
      </c>
      <c r="V136" s="29">
        <f t="shared" si="2"/>
        <v>0</v>
      </c>
    </row>
    <row r="137" spans="1:22">
      <c r="A137" t="s">
        <v>331</v>
      </c>
      <c r="B137">
        <v>2023</v>
      </c>
      <c r="C137">
        <v>48</v>
      </c>
      <c r="D137" s="62">
        <v>480780279</v>
      </c>
      <c r="E137" t="s">
        <v>463</v>
      </c>
      <c r="F137" t="s">
        <v>23</v>
      </c>
      <c r="G137">
        <v>480780097</v>
      </c>
      <c r="H137" t="s">
        <v>333</v>
      </c>
      <c r="I137" s="29" t="s">
        <v>28</v>
      </c>
      <c r="J137" s="29">
        <v>14</v>
      </c>
      <c r="K137" s="29">
        <v>6801</v>
      </c>
      <c r="L137" s="29"/>
      <c r="M137" s="29">
        <v>244</v>
      </c>
      <c r="N137" s="29">
        <v>8463</v>
      </c>
      <c r="O137" s="29"/>
      <c r="P137" s="29">
        <v>0</v>
      </c>
      <c r="Q137" s="29" t="s">
        <v>28</v>
      </c>
      <c r="S137" s="30">
        <v>1.6561643835616437</v>
      </c>
      <c r="T137" s="30">
        <v>1.2443758270842522</v>
      </c>
      <c r="U137">
        <f>+VLOOKUP(G137,basev2!$C$5:$Q$173,14,0)</f>
        <v>14</v>
      </c>
      <c r="V137" s="29">
        <f t="shared" si="2"/>
        <v>0</v>
      </c>
    </row>
    <row r="138" spans="1:22">
      <c r="A138" t="s">
        <v>331</v>
      </c>
      <c r="B138">
        <v>2023</v>
      </c>
      <c r="C138">
        <v>48</v>
      </c>
      <c r="D138" s="62">
        <v>480780287</v>
      </c>
      <c r="E138" t="s">
        <v>464</v>
      </c>
      <c r="F138" t="s">
        <v>34</v>
      </c>
      <c r="G138">
        <v>480001635</v>
      </c>
      <c r="H138" t="s">
        <v>333</v>
      </c>
      <c r="I138" s="29" t="s">
        <v>28</v>
      </c>
      <c r="J138" s="29">
        <v>40</v>
      </c>
      <c r="K138" s="29">
        <v>14600</v>
      </c>
      <c r="L138" s="29"/>
      <c r="M138" s="29">
        <v>379</v>
      </c>
      <c r="N138" s="29">
        <v>11487</v>
      </c>
      <c r="O138" s="29"/>
      <c r="P138" s="29">
        <v>0</v>
      </c>
      <c r="Q138" s="29" t="s">
        <v>28</v>
      </c>
      <c r="S138" s="30">
        <v>0.78678082191780818</v>
      </c>
      <c r="T138" s="30">
        <v>0.78678082191780818</v>
      </c>
      <c r="U138">
        <f>+VLOOKUP(D138,basev2!$C$5:$Q$173,14,0)</f>
        <v>40</v>
      </c>
      <c r="V138" s="29">
        <f t="shared" si="2"/>
        <v>0</v>
      </c>
    </row>
    <row r="139" spans="1:22">
      <c r="A139" t="s">
        <v>331</v>
      </c>
      <c r="B139">
        <v>2023</v>
      </c>
      <c r="C139">
        <v>48</v>
      </c>
      <c r="D139" s="62">
        <v>480783034</v>
      </c>
      <c r="E139" t="s">
        <v>465</v>
      </c>
      <c r="F139" t="s">
        <v>34</v>
      </c>
      <c r="G139">
        <v>480782101</v>
      </c>
      <c r="H139" t="s">
        <v>333</v>
      </c>
      <c r="I139" s="29" t="s">
        <v>28</v>
      </c>
      <c r="J139" s="29">
        <v>45</v>
      </c>
      <c r="K139" s="29">
        <v>16425</v>
      </c>
      <c r="L139" s="29">
        <v>17</v>
      </c>
      <c r="M139" s="29">
        <v>441</v>
      </c>
      <c r="N139" s="29">
        <v>14251</v>
      </c>
      <c r="O139" s="29"/>
      <c r="P139" s="29">
        <v>4480</v>
      </c>
      <c r="Q139" s="29" t="s">
        <v>28</v>
      </c>
      <c r="S139" s="30">
        <v>0.86764079147640794</v>
      </c>
      <c r="T139" s="30">
        <v>0.86764079147640794</v>
      </c>
      <c r="U139">
        <f>+VLOOKUP(D139,basev2!$C$5:$Q$173,14,0)</f>
        <v>45</v>
      </c>
      <c r="V139" s="29">
        <f t="shared" si="2"/>
        <v>0</v>
      </c>
    </row>
    <row r="140" spans="1:22">
      <c r="A140" t="s">
        <v>331</v>
      </c>
      <c r="B140">
        <v>2023</v>
      </c>
      <c r="C140">
        <v>65</v>
      </c>
      <c r="D140" s="62">
        <v>650000052</v>
      </c>
      <c r="E140" t="s">
        <v>466</v>
      </c>
      <c r="F140" t="s">
        <v>23</v>
      </c>
      <c r="G140">
        <v>650780166</v>
      </c>
      <c r="H140" t="s">
        <v>333</v>
      </c>
      <c r="I140" s="29" t="s">
        <v>28</v>
      </c>
      <c r="J140" s="29">
        <v>136</v>
      </c>
      <c r="K140" s="29">
        <v>49640</v>
      </c>
      <c r="L140" s="29">
        <v>40</v>
      </c>
      <c r="M140" s="29">
        <v>1352</v>
      </c>
      <c r="N140" s="29">
        <v>45024</v>
      </c>
      <c r="O140" s="29"/>
      <c r="P140" s="29">
        <v>13134</v>
      </c>
      <c r="Q140" s="29" t="s">
        <v>28</v>
      </c>
      <c r="S140" s="30">
        <v>0.90701047542304591</v>
      </c>
      <c r="T140" s="30">
        <v>0.90701047542304591</v>
      </c>
      <c r="U140">
        <f>+VLOOKUP(G140,basev2!$C$5:$Q$173,14,0)</f>
        <v>136</v>
      </c>
      <c r="V140" s="29">
        <f t="shared" si="2"/>
        <v>0</v>
      </c>
    </row>
    <row r="141" spans="1:22">
      <c r="A141" t="s">
        <v>331</v>
      </c>
      <c r="B141">
        <v>2023</v>
      </c>
      <c r="C141">
        <v>65</v>
      </c>
      <c r="D141" s="62">
        <v>650000060</v>
      </c>
      <c r="E141" t="s">
        <v>166</v>
      </c>
      <c r="F141" t="s">
        <v>23</v>
      </c>
      <c r="G141">
        <v>650780174</v>
      </c>
      <c r="H141" t="s">
        <v>333</v>
      </c>
      <c r="I141" s="29" t="s">
        <v>28</v>
      </c>
      <c r="J141" s="29">
        <v>20</v>
      </c>
      <c r="K141" s="29">
        <v>6570</v>
      </c>
      <c r="L141" s="29"/>
      <c r="M141" s="29">
        <v>201</v>
      </c>
      <c r="N141" s="29">
        <v>6026</v>
      </c>
      <c r="O141" s="29"/>
      <c r="P141" s="29">
        <v>0</v>
      </c>
      <c r="Q141" s="29" t="s">
        <v>28</v>
      </c>
      <c r="S141" s="30">
        <v>0.82547945205479456</v>
      </c>
      <c r="T141" s="30">
        <v>0.91719939117199389</v>
      </c>
      <c r="U141">
        <f>+VLOOKUP(G141,basev2!$C$5:$Q$173,14,0)</f>
        <v>20</v>
      </c>
      <c r="V141" s="29">
        <f t="shared" si="2"/>
        <v>0</v>
      </c>
    </row>
    <row r="142" spans="1:22">
      <c r="A142" t="s">
        <v>331</v>
      </c>
      <c r="B142">
        <v>2023</v>
      </c>
      <c r="C142">
        <v>65</v>
      </c>
      <c r="D142" s="62">
        <v>650000078</v>
      </c>
      <c r="E142" t="s">
        <v>467</v>
      </c>
      <c r="F142" t="s">
        <v>23</v>
      </c>
      <c r="G142">
        <v>650780190</v>
      </c>
      <c r="H142" t="s">
        <v>333</v>
      </c>
      <c r="I142" s="29" t="s">
        <v>28</v>
      </c>
      <c r="J142" s="29">
        <v>88</v>
      </c>
      <c r="K142" s="29">
        <v>27418</v>
      </c>
      <c r="L142" s="29"/>
      <c r="M142" s="29">
        <v>642</v>
      </c>
      <c r="N142" s="29">
        <v>23750</v>
      </c>
      <c r="O142" s="29"/>
      <c r="P142" s="29">
        <v>0</v>
      </c>
      <c r="Q142" s="29" t="s">
        <v>28</v>
      </c>
      <c r="S142" s="30">
        <v>0.73941469489414691</v>
      </c>
      <c r="T142" s="30">
        <v>0.86621927201108762</v>
      </c>
      <c r="U142">
        <f>+VLOOKUP(G142,basev2!$C$5:$Q$173,14,0)</f>
        <v>88</v>
      </c>
      <c r="V142" s="29">
        <f t="shared" si="2"/>
        <v>0</v>
      </c>
    </row>
    <row r="143" spans="1:22">
      <c r="A143" t="s">
        <v>331</v>
      </c>
      <c r="B143">
        <v>2023</v>
      </c>
      <c r="C143">
        <v>65</v>
      </c>
      <c r="D143" s="62">
        <v>650002579</v>
      </c>
      <c r="E143" t="s">
        <v>468</v>
      </c>
      <c r="F143" t="s">
        <v>342</v>
      </c>
      <c r="G143">
        <v>650000243</v>
      </c>
      <c r="H143" t="s">
        <v>333</v>
      </c>
      <c r="I143" s="29" t="s">
        <v>28</v>
      </c>
      <c r="J143" s="29">
        <v>30</v>
      </c>
      <c r="K143" s="29">
        <v>9150</v>
      </c>
      <c r="L143" s="29">
        <v>12</v>
      </c>
      <c r="M143" s="29">
        <v>302</v>
      </c>
      <c r="N143" s="29">
        <v>6180</v>
      </c>
      <c r="O143" s="29"/>
      <c r="P143" s="29">
        <v>1169</v>
      </c>
      <c r="Q143" s="29" t="s">
        <v>28</v>
      </c>
      <c r="S143" s="30">
        <v>0.56438356164383563</v>
      </c>
      <c r="T143" s="30">
        <v>0.67540983606557381</v>
      </c>
      <c r="U143">
        <f>+VLOOKUP(D143,basev2!$C$5:$Q$173,14,0)</f>
        <v>30</v>
      </c>
      <c r="V143" s="29">
        <f t="shared" si="2"/>
        <v>0</v>
      </c>
    </row>
    <row r="144" spans="1:22">
      <c r="A144" t="s">
        <v>331</v>
      </c>
      <c r="B144">
        <v>2023</v>
      </c>
      <c r="C144">
        <v>65</v>
      </c>
      <c r="D144" s="62">
        <v>650006638</v>
      </c>
      <c r="E144" t="s">
        <v>469</v>
      </c>
      <c r="F144" t="s">
        <v>23</v>
      </c>
      <c r="G144">
        <v>650783160</v>
      </c>
      <c r="H144" t="s">
        <v>333</v>
      </c>
      <c r="I144" s="29" t="s">
        <v>28</v>
      </c>
      <c r="J144" s="29">
        <v>50</v>
      </c>
      <c r="K144" s="29">
        <v>18250</v>
      </c>
      <c r="L144" s="29"/>
      <c r="M144" s="29">
        <v>375</v>
      </c>
      <c r="N144" s="29">
        <v>15678</v>
      </c>
      <c r="O144" s="29"/>
      <c r="P144" s="29">
        <v>0</v>
      </c>
      <c r="Q144" s="29" t="s">
        <v>28</v>
      </c>
      <c r="S144" s="30">
        <v>0.8590684931506849</v>
      </c>
      <c r="T144" s="30">
        <v>0.8590684931506849</v>
      </c>
      <c r="U144">
        <f>+VLOOKUP(G144,basev2!$C$5:$Q$173,14,0)</f>
        <v>133</v>
      </c>
      <c r="V144" s="29">
        <f t="shared" si="2"/>
        <v>83</v>
      </c>
    </row>
    <row r="145" spans="1:22">
      <c r="A145" t="s">
        <v>331</v>
      </c>
      <c r="B145">
        <v>2023</v>
      </c>
      <c r="C145">
        <v>65</v>
      </c>
      <c r="D145" s="62">
        <v>650780141</v>
      </c>
      <c r="E145" t="s">
        <v>470</v>
      </c>
      <c r="F145" t="s">
        <v>23</v>
      </c>
      <c r="G145">
        <v>650783160</v>
      </c>
      <c r="H145" t="s">
        <v>333</v>
      </c>
      <c r="I145" s="29" t="s">
        <v>28</v>
      </c>
      <c r="J145" s="29">
        <v>40</v>
      </c>
      <c r="K145" s="29">
        <v>14600</v>
      </c>
      <c r="L145" s="29"/>
      <c r="M145" s="29">
        <v>348</v>
      </c>
      <c r="N145" s="29">
        <v>9529</v>
      </c>
      <c r="O145" s="29"/>
      <c r="P145" s="29">
        <v>0</v>
      </c>
      <c r="Q145" s="29" t="s">
        <v>28</v>
      </c>
      <c r="S145" s="30">
        <v>0.65267123287671236</v>
      </c>
      <c r="T145" s="30">
        <v>0.65267123287671236</v>
      </c>
      <c r="U145">
        <f>+VLOOKUP(G145,basev2!$C$5:$Q$173,14,0)</f>
        <v>133</v>
      </c>
      <c r="V145" s="29">
        <f t="shared" si="2"/>
        <v>93</v>
      </c>
    </row>
    <row r="146" spans="1:22">
      <c r="A146" t="s">
        <v>331</v>
      </c>
      <c r="B146">
        <v>2023</v>
      </c>
      <c r="C146">
        <v>65</v>
      </c>
      <c r="D146" s="62">
        <v>650780182</v>
      </c>
      <c r="E146" t="s">
        <v>471</v>
      </c>
      <c r="F146" t="s">
        <v>23</v>
      </c>
      <c r="G146">
        <v>650783160</v>
      </c>
      <c r="H146" t="s">
        <v>333</v>
      </c>
      <c r="I146" s="29" t="s">
        <v>28</v>
      </c>
      <c r="J146" s="29">
        <v>43</v>
      </c>
      <c r="K146" s="29">
        <v>15695</v>
      </c>
      <c r="L146" s="29"/>
      <c r="M146" s="29">
        <v>299</v>
      </c>
      <c r="N146" s="29">
        <v>10080</v>
      </c>
      <c r="O146" s="29"/>
      <c r="P146" s="29">
        <v>0</v>
      </c>
      <c r="Q146" s="29" t="s">
        <v>28</v>
      </c>
      <c r="S146" s="30">
        <v>0.64224275246893914</v>
      </c>
      <c r="T146" s="30">
        <v>0.64224275246893914</v>
      </c>
      <c r="U146">
        <f>+VLOOKUP(G146,basev2!$C$5:$Q$173,14,0)</f>
        <v>133</v>
      </c>
      <c r="V146" s="29">
        <f t="shared" si="2"/>
        <v>90</v>
      </c>
    </row>
    <row r="147" spans="1:22">
      <c r="A147" t="s">
        <v>331</v>
      </c>
      <c r="B147">
        <v>2023</v>
      </c>
      <c r="C147">
        <v>65</v>
      </c>
      <c r="D147" s="62">
        <v>650780398</v>
      </c>
      <c r="E147" t="s">
        <v>472</v>
      </c>
      <c r="F147" t="s">
        <v>34</v>
      </c>
      <c r="G147">
        <v>750005068</v>
      </c>
      <c r="H147" t="s">
        <v>333</v>
      </c>
      <c r="I147" s="29" t="s">
        <v>28</v>
      </c>
      <c r="J147" s="29">
        <v>96</v>
      </c>
      <c r="K147" s="29">
        <v>35040</v>
      </c>
      <c r="L147" s="29">
        <v>6</v>
      </c>
      <c r="M147" s="29">
        <v>865</v>
      </c>
      <c r="N147" s="29">
        <v>26388</v>
      </c>
      <c r="O147" s="29"/>
      <c r="P147" s="29">
        <v>1223</v>
      </c>
      <c r="Q147" s="29" t="s">
        <v>28</v>
      </c>
      <c r="S147" s="30">
        <v>0.75308219178082192</v>
      </c>
      <c r="T147" s="30">
        <v>0.75308219178082192</v>
      </c>
      <c r="U147">
        <f>+VLOOKUP(D147,basev2!$C$5:$Q$173,14,0)</f>
        <v>96</v>
      </c>
      <c r="V147" s="29">
        <f t="shared" si="2"/>
        <v>0</v>
      </c>
    </row>
    <row r="148" spans="1:22">
      <c r="A148" t="s">
        <v>331</v>
      </c>
      <c r="B148">
        <v>2023</v>
      </c>
      <c r="C148">
        <v>65</v>
      </c>
      <c r="D148" s="62">
        <v>650780679</v>
      </c>
      <c r="E148" t="s">
        <v>473</v>
      </c>
      <c r="F148" t="s">
        <v>342</v>
      </c>
      <c r="G148">
        <v>650000243</v>
      </c>
      <c r="H148" t="s">
        <v>333</v>
      </c>
      <c r="I148" s="29" t="s">
        <v>28</v>
      </c>
      <c r="J148" s="29" t="s">
        <v>28</v>
      </c>
      <c r="K148" s="29" t="s">
        <v>28</v>
      </c>
      <c r="L148" s="29">
        <v>30</v>
      </c>
      <c r="M148" s="29">
        <v>0</v>
      </c>
      <c r="N148" s="29">
        <v>0</v>
      </c>
      <c r="O148" s="29"/>
      <c r="P148" s="29">
        <v>5272</v>
      </c>
      <c r="Q148" s="29" t="s">
        <v>28</v>
      </c>
      <c r="S148" s="30"/>
      <c r="T148" s="30"/>
      <c r="U148">
        <f>+VLOOKUP(D148,basev2!$C$5:$Q$173,14,0)</f>
        <v>0</v>
      </c>
      <c r="V148" s="29" t="e">
        <f t="shared" si="2"/>
        <v>#VALUE!</v>
      </c>
    </row>
    <row r="149" spans="1:22">
      <c r="A149" t="s">
        <v>331</v>
      </c>
      <c r="B149">
        <v>2023</v>
      </c>
      <c r="C149">
        <v>66</v>
      </c>
      <c r="D149" s="62">
        <v>660000084</v>
      </c>
      <c r="E149" t="s">
        <v>178</v>
      </c>
      <c r="F149" t="s">
        <v>23</v>
      </c>
      <c r="G149">
        <v>660780180</v>
      </c>
      <c r="H149" t="s">
        <v>333</v>
      </c>
      <c r="I149" s="29" t="s">
        <v>28</v>
      </c>
      <c r="J149" s="29">
        <v>38</v>
      </c>
      <c r="K149" s="29">
        <v>13870</v>
      </c>
      <c r="L149" s="29"/>
      <c r="M149" s="29">
        <v>513</v>
      </c>
      <c r="N149" s="29">
        <v>13411</v>
      </c>
      <c r="O149" s="29"/>
      <c r="P149" s="29">
        <v>0</v>
      </c>
      <c r="Q149" s="29" t="s">
        <v>28</v>
      </c>
      <c r="S149" s="30">
        <v>0.96690699351117515</v>
      </c>
      <c r="T149" s="30">
        <v>0.96690699351117515</v>
      </c>
      <c r="U149">
        <f>+VLOOKUP(G149,basev2!$C$5:$Q$173,14,0)</f>
        <v>38</v>
      </c>
      <c r="V149" s="29">
        <f t="shared" si="2"/>
        <v>0</v>
      </c>
    </row>
    <row r="150" spans="1:22">
      <c r="A150" t="s">
        <v>331</v>
      </c>
      <c r="B150">
        <v>2023</v>
      </c>
      <c r="C150">
        <v>66</v>
      </c>
      <c r="D150" s="62">
        <v>660000167</v>
      </c>
      <c r="E150" t="s">
        <v>179</v>
      </c>
      <c r="F150" t="s">
        <v>23</v>
      </c>
      <c r="G150">
        <v>660780271</v>
      </c>
      <c r="H150" t="s">
        <v>333</v>
      </c>
      <c r="I150" s="29" t="s">
        <v>28</v>
      </c>
      <c r="J150" s="29">
        <v>20</v>
      </c>
      <c r="K150" s="29">
        <v>7300</v>
      </c>
      <c r="L150" s="29"/>
      <c r="M150" s="29">
        <v>281</v>
      </c>
      <c r="N150" s="29">
        <v>7090</v>
      </c>
      <c r="O150" s="29"/>
      <c r="P150" s="29">
        <v>0</v>
      </c>
      <c r="Q150" s="29" t="s">
        <v>28</v>
      </c>
      <c r="S150" s="30">
        <v>0.97123287671232872</v>
      </c>
      <c r="T150" s="30">
        <v>0.97123287671232872</v>
      </c>
      <c r="U150" t="e">
        <f>+VLOOKUP(D150,basev2!$C$5:$Q$173,14,0)</f>
        <v>#N/A</v>
      </c>
      <c r="V150" s="29" t="e">
        <f t="shared" si="2"/>
        <v>#N/A</v>
      </c>
    </row>
    <row r="151" spans="1:22">
      <c r="A151" t="s">
        <v>331</v>
      </c>
      <c r="B151">
        <v>2023</v>
      </c>
      <c r="C151">
        <v>66</v>
      </c>
      <c r="D151" s="62">
        <v>660005166</v>
      </c>
      <c r="E151" t="s">
        <v>474</v>
      </c>
      <c r="F151" t="s">
        <v>342</v>
      </c>
      <c r="G151">
        <v>660786542</v>
      </c>
      <c r="H151" t="s">
        <v>333</v>
      </c>
      <c r="I151" s="29" t="s">
        <v>28</v>
      </c>
      <c r="J151" s="29">
        <v>60</v>
      </c>
      <c r="K151" s="29">
        <v>21869</v>
      </c>
      <c r="L151" s="29">
        <v>20</v>
      </c>
      <c r="M151" s="29">
        <v>659</v>
      </c>
      <c r="N151" s="29">
        <v>21726</v>
      </c>
      <c r="O151" s="29"/>
      <c r="P151" s="29">
        <v>45</v>
      </c>
      <c r="Q151" s="29" t="s">
        <v>28</v>
      </c>
      <c r="S151" s="30">
        <v>0.9920547945205479</v>
      </c>
      <c r="T151" s="30">
        <v>0.9934610636060176</v>
      </c>
      <c r="U151">
        <f>+VLOOKUP(D151,basev2!$C$5:$Q$173,14,0)</f>
        <v>60</v>
      </c>
      <c r="V151" s="29">
        <f t="shared" si="2"/>
        <v>0</v>
      </c>
    </row>
    <row r="152" spans="1:22">
      <c r="A152" t="s">
        <v>331</v>
      </c>
      <c r="B152">
        <v>2023</v>
      </c>
      <c r="C152">
        <v>66</v>
      </c>
      <c r="D152" s="62">
        <v>660009689</v>
      </c>
      <c r="E152" t="s">
        <v>475</v>
      </c>
      <c r="F152" t="s">
        <v>34</v>
      </c>
      <c r="G152">
        <v>660010059</v>
      </c>
      <c r="H152" t="s">
        <v>333</v>
      </c>
      <c r="I152" s="29" t="s">
        <v>28</v>
      </c>
      <c r="J152" s="29">
        <v>57</v>
      </c>
      <c r="K152" s="29">
        <v>20805</v>
      </c>
      <c r="L152" s="29">
        <v>10</v>
      </c>
      <c r="M152" s="29">
        <v>400</v>
      </c>
      <c r="N152" s="29">
        <v>13747</v>
      </c>
      <c r="O152" s="29"/>
      <c r="P152" s="29">
        <v>509</v>
      </c>
      <c r="Q152" s="29" t="s">
        <v>28</v>
      </c>
      <c r="S152" s="30">
        <v>0.66075462629175674</v>
      </c>
      <c r="T152" s="30">
        <v>0.66075462629175674</v>
      </c>
      <c r="U152">
        <f>+VLOOKUP(D152,basev2!$C$5:$Q$173,14,0)</f>
        <v>57</v>
      </c>
      <c r="V152" s="29">
        <f t="shared" si="2"/>
        <v>0</v>
      </c>
    </row>
    <row r="153" spans="1:22">
      <c r="A153" t="s">
        <v>331</v>
      </c>
      <c r="B153">
        <v>2023</v>
      </c>
      <c r="C153">
        <v>66</v>
      </c>
      <c r="D153" s="62">
        <v>660010174</v>
      </c>
      <c r="E153" t="s">
        <v>476</v>
      </c>
      <c r="F153" t="s">
        <v>34</v>
      </c>
      <c r="G153">
        <v>110786324</v>
      </c>
      <c r="H153" t="s">
        <v>333</v>
      </c>
      <c r="I153" s="29" t="s">
        <v>28</v>
      </c>
      <c r="J153" s="29">
        <v>170</v>
      </c>
      <c r="K153" s="29">
        <v>62050</v>
      </c>
      <c r="L153" s="29">
        <v>45</v>
      </c>
      <c r="M153" s="29">
        <v>1030</v>
      </c>
      <c r="N153" s="29">
        <v>53024</v>
      </c>
      <c r="O153" s="29"/>
      <c r="P153" s="29">
        <v>13713</v>
      </c>
      <c r="Q153" s="29" t="s">
        <v>28</v>
      </c>
      <c r="S153" s="30">
        <v>0.85453666398066075</v>
      </c>
      <c r="T153" s="30">
        <v>0.85453666398066075</v>
      </c>
      <c r="U153">
        <f>+VLOOKUP(G153,basev2!$C$5:$Q$173,14,0)</f>
        <v>44</v>
      </c>
      <c r="V153" s="29">
        <f t="shared" si="2"/>
        <v>-126</v>
      </c>
    </row>
    <row r="154" spans="1:22">
      <c r="A154" t="s">
        <v>331</v>
      </c>
      <c r="B154">
        <v>2023</v>
      </c>
      <c r="C154">
        <v>66</v>
      </c>
      <c r="D154" s="62">
        <v>660780099</v>
      </c>
      <c r="E154" t="s">
        <v>477</v>
      </c>
      <c r="F154" t="s">
        <v>342</v>
      </c>
      <c r="G154">
        <v>660000043</v>
      </c>
      <c r="H154" t="s">
        <v>333</v>
      </c>
      <c r="I154" s="29" t="s">
        <v>28</v>
      </c>
      <c r="J154" s="29">
        <v>53</v>
      </c>
      <c r="K154" s="29">
        <v>19345</v>
      </c>
      <c r="L154" s="29"/>
      <c r="M154" s="29">
        <v>405</v>
      </c>
      <c r="N154" s="29">
        <v>15260</v>
      </c>
      <c r="O154" s="29"/>
      <c r="P154" s="29">
        <v>0</v>
      </c>
      <c r="Q154" s="29" t="s">
        <v>28</v>
      </c>
      <c r="S154" s="30">
        <v>0.78883432411475829</v>
      </c>
      <c r="T154" s="30">
        <v>0.78883432411475829</v>
      </c>
      <c r="U154">
        <f>+VLOOKUP(D154,basev2!$C$5:$Q$173,14,0)</f>
        <v>53</v>
      </c>
      <c r="V154" s="29">
        <f t="shared" si="2"/>
        <v>0</v>
      </c>
    </row>
    <row r="155" spans="1:22">
      <c r="A155" t="s">
        <v>331</v>
      </c>
      <c r="B155">
        <v>2023</v>
      </c>
      <c r="C155">
        <v>66</v>
      </c>
      <c r="D155" s="62">
        <v>660780156</v>
      </c>
      <c r="E155" t="s">
        <v>478</v>
      </c>
      <c r="F155" t="s">
        <v>34</v>
      </c>
      <c r="G155">
        <v>340015171</v>
      </c>
      <c r="H155" t="s">
        <v>333</v>
      </c>
      <c r="I155" s="29" t="s">
        <v>28</v>
      </c>
      <c r="J155" s="29">
        <v>96</v>
      </c>
      <c r="K155" s="29">
        <v>35040</v>
      </c>
      <c r="L155" s="29"/>
      <c r="M155" s="29">
        <v>1122</v>
      </c>
      <c r="N155" s="29">
        <v>28505</v>
      </c>
      <c r="O155" s="29"/>
      <c r="P155" s="29">
        <v>0</v>
      </c>
      <c r="Q155" s="29" t="s">
        <v>28</v>
      </c>
      <c r="S155" s="30">
        <v>0.81349885844748859</v>
      </c>
      <c r="T155" s="30">
        <v>0.81349885844748859</v>
      </c>
      <c r="U155">
        <f>+VLOOKUP(D155,basev2!$C$5:$Q$173,14,0)</f>
        <v>96</v>
      </c>
      <c r="V155" s="29">
        <f t="shared" si="2"/>
        <v>0</v>
      </c>
    </row>
    <row r="156" spans="1:22">
      <c r="A156" t="s">
        <v>331</v>
      </c>
      <c r="B156">
        <v>2023</v>
      </c>
      <c r="C156">
        <v>66</v>
      </c>
      <c r="D156" s="62">
        <v>660780347</v>
      </c>
      <c r="E156" t="s">
        <v>479</v>
      </c>
      <c r="F156" t="s">
        <v>342</v>
      </c>
      <c r="G156">
        <v>660000183</v>
      </c>
      <c r="H156" t="s">
        <v>333</v>
      </c>
      <c r="I156" s="29" t="s">
        <v>28</v>
      </c>
      <c r="J156" s="29">
        <v>118</v>
      </c>
      <c r="K156" s="29">
        <v>43070</v>
      </c>
      <c r="L156" s="29">
        <v>5</v>
      </c>
      <c r="M156" s="29">
        <v>1515</v>
      </c>
      <c r="N156" s="29">
        <v>39667</v>
      </c>
      <c r="O156" s="29"/>
      <c r="P156" s="29">
        <v>1252</v>
      </c>
      <c r="Q156" s="29" t="s">
        <v>28</v>
      </c>
      <c r="S156" s="30">
        <v>0.92098908753192477</v>
      </c>
      <c r="T156" s="30">
        <v>0.92098908753192477</v>
      </c>
      <c r="U156">
        <f>+VLOOKUP(D156,basev2!$C$5:$Q$173,14,0)</f>
        <v>118</v>
      </c>
      <c r="V156" s="29">
        <f t="shared" si="2"/>
        <v>0</v>
      </c>
    </row>
    <row r="157" spans="1:22">
      <c r="A157" t="s">
        <v>331</v>
      </c>
      <c r="B157">
        <v>2023</v>
      </c>
      <c r="C157">
        <v>66</v>
      </c>
      <c r="D157" s="62">
        <v>660780636</v>
      </c>
      <c r="E157" t="s">
        <v>480</v>
      </c>
      <c r="F157" t="s">
        <v>342</v>
      </c>
      <c r="G157">
        <v>920031788</v>
      </c>
      <c r="H157" t="s">
        <v>333</v>
      </c>
      <c r="I157" s="29" t="s">
        <v>28</v>
      </c>
      <c r="J157" s="29">
        <v>152</v>
      </c>
      <c r="K157" s="29">
        <v>55480</v>
      </c>
      <c r="L157" s="29"/>
      <c r="M157" s="29">
        <v>1111</v>
      </c>
      <c r="N157" s="29">
        <v>46337</v>
      </c>
      <c r="O157" s="29"/>
      <c r="P157" s="29">
        <v>0</v>
      </c>
      <c r="Q157" s="29" t="s">
        <v>28</v>
      </c>
      <c r="S157" s="30">
        <v>0.83520187454938721</v>
      </c>
      <c r="T157" s="30">
        <v>0.83520187454938721</v>
      </c>
      <c r="U157">
        <f>+VLOOKUP(D157,basev2!$C$5:$Q$173,14,0)</f>
        <v>152</v>
      </c>
      <c r="V157" s="29">
        <f t="shared" si="2"/>
        <v>0</v>
      </c>
    </row>
    <row r="158" spans="1:22">
      <c r="A158" t="s">
        <v>331</v>
      </c>
      <c r="B158">
        <v>2023</v>
      </c>
      <c r="C158">
        <v>66</v>
      </c>
      <c r="D158" s="62">
        <v>660780743</v>
      </c>
      <c r="E158" t="s">
        <v>481</v>
      </c>
      <c r="F158" t="s">
        <v>342</v>
      </c>
      <c r="G158">
        <v>660000373</v>
      </c>
      <c r="H158" t="s">
        <v>333</v>
      </c>
      <c r="I158" s="29" t="s">
        <v>28</v>
      </c>
      <c r="J158" s="29">
        <v>144</v>
      </c>
      <c r="K158" s="29">
        <v>52560</v>
      </c>
      <c r="L158" s="29">
        <v>75</v>
      </c>
      <c r="M158" s="29">
        <v>1323</v>
      </c>
      <c r="N158" s="29">
        <v>51359</v>
      </c>
      <c r="O158" s="29"/>
      <c r="P158" s="29">
        <v>10536</v>
      </c>
      <c r="Q158" s="29" t="s">
        <v>28</v>
      </c>
      <c r="S158" s="30">
        <v>0.97714992389649924</v>
      </c>
      <c r="T158" s="30">
        <v>0.97714992389649924</v>
      </c>
      <c r="U158">
        <f>+VLOOKUP(D158,basev2!$C$5:$Q$173,14,0)</f>
        <v>144</v>
      </c>
      <c r="V158" s="29">
        <f t="shared" si="2"/>
        <v>0</v>
      </c>
    </row>
    <row r="159" spans="1:22">
      <c r="A159" t="s">
        <v>331</v>
      </c>
      <c r="B159">
        <v>2023</v>
      </c>
      <c r="C159">
        <v>66</v>
      </c>
      <c r="D159" s="62">
        <v>660780800</v>
      </c>
      <c r="E159" t="s">
        <v>482</v>
      </c>
      <c r="F159" t="s">
        <v>342</v>
      </c>
      <c r="G159">
        <v>920030269</v>
      </c>
      <c r="H159" t="s">
        <v>333</v>
      </c>
      <c r="I159" s="29" t="s">
        <v>28</v>
      </c>
      <c r="J159" s="29">
        <v>83</v>
      </c>
      <c r="K159" s="29">
        <v>30295</v>
      </c>
      <c r="L159" s="29"/>
      <c r="M159" s="29">
        <v>621</v>
      </c>
      <c r="N159" s="29">
        <v>22326</v>
      </c>
      <c r="O159" s="29"/>
      <c r="P159" s="29">
        <v>0</v>
      </c>
      <c r="Q159" s="29" t="s">
        <v>28</v>
      </c>
      <c r="S159" s="30">
        <v>0.73695329262254494</v>
      </c>
      <c r="T159" s="30">
        <v>0.73695329262254494</v>
      </c>
      <c r="U159">
        <f>+VLOOKUP(D159,basev2!$C$5:$Q$173,14,0)</f>
        <v>83</v>
      </c>
      <c r="V159" s="29">
        <f t="shared" si="2"/>
        <v>0</v>
      </c>
    </row>
    <row r="160" spans="1:22">
      <c r="A160" t="s">
        <v>331</v>
      </c>
      <c r="B160">
        <v>2023</v>
      </c>
      <c r="C160">
        <v>66</v>
      </c>
      <c r="D160" s="62">
        <v>660780842</v>
      </c>
      <c r="E160" t="s">
        <v>483</v>
      </c>
      <c r="F160" t="s">
        <v>342</v>
      </c>
      <c r="G160">
        <v>660000431</v>
      </c>
      <c r="H160" t="s">
        <v>333</v>
      </c>
      <c r="I160" s="29" t="s">
        <v>28</v>
      </c>
      <c r="J160" s="29">
        <v>68</v>
      </c>
      <c r="K160" s="29">
        <v>24820</v>
      </c>
      <c r="L160" s="29"/>
      <c r="M160" s="29">
        <v>656</v>
      </c>
      <c r="N160" s="29">
        <v>22241</v>
      </c>
      <c r="O160" s="29"/>
      <c r="P160" s="29">
        <v>0</v>
      </c>
      <c r="Q160" s="29" t="s">
        <v>28</v>
      </c>
      <c r="S160" s="30">
        <v>0.89609186140209507</v>
      </c>
      <c r="T160" s="30">
        <v>0.89609186140209507</v>
      </c>
      <c r="U160">
        <f>+VLOOKUP(D160,basev2!$C$5:$Q$173,14,0)</f>
        <v>68</v>
      </c>
      <c r="V160" s="29">
        <f t="shared" si="2"/>
        <v>0</v>
      </c>
    </row>
    <row r="161" spans="1:22">
      <c r="A161" t="s">
        <v>331</v>
      </c>
      <c r="B161">
        <v>2023</v>
      </c>
      <c r="C161">
        <v>66</v>
      </c>
      <c r="D161" s="62">
        <v>660781097</v>
      </c>
      <c r="E161" t="s">
        <v>484</v>
      </c>
      <c r="F161" t="s">
        <v>342</v>
      </c>
      <c r="G161">
        <v>660000506</v>
      </c>
      <c r="H161" t="s">
        <v>333</v>
      </c>
      <c r="I161" s="29" t="s">
        <v>28</v>
      </c>
      <c r="J161" s="29">
        <v>42</v>
      </c>
      <c r="K161" s="29">
        <v>15330</v>
      </c>
      <c r="L161" s="29"/>
      <c r="M161" s="29">
        <v>311</v>
      </c>
      <c r="N161" s="29">
        <v>14411</v>
      </c>
      <c r="O161" s="29"/>
      <c r="P161" s="29">
        <v>0</v>
      </c>
      <c r="Q161" s="29" t="s">
        <v>28</v>
      </c>
      <c r="S161" s="30">
        <v>0.94005218525766476</v>
      </c>
      <c r="T161" s="30">
        <v>0.94005218525766476</v>
      </c>
      <c r="U161">
        <f>+VLOOKUP(D161,basev2!$C$5:$Q$173,14,0)</f>
        <v>42</v>
      </c>
      <c r="V161" s="29">
        <f t="shared" si="2"/>
        <v>0</v>
      </c>
    </row>
    <row r="162" spans="1:22">
      <c r="A162" t="s">
        <v>331</v>
      </c>
      <c r="B162">
        <v>2023</v>
      </c>
      <c r="C162">
        <v>66</v>
      </c>
      <c r="D162" s="62">
        <v>660781287</v>
      </c>
      <c r="E162" t="s">
        <v>485</v>
      </c>
      <c r="F162" t="s">
        <v>342</v>
      </c>
      <c r="G162">
        <v>660000621</v>
      </c>
      <c r="H162" t="s">
        <v>333</v>
      </c>
      <c r="I162" s="29" t="s">
        <v>28</v>
      </c>
      <c r="J162" s="29">
        <v>120</v>
      </c>
      <c r="K162" s="29">
        <v>43800</v>
      </c>
      <c r="L162" s="29">
        <v>105</v>
      </c>
      <c r="M162" s="29">
        <v>1095</v>
      </c>
      <c r="N162" s="29">
        <v>40180</v>
      </c>
      <c r="O162" s="29"/>
      <c r="P162" s="29">
        <v>11448</v>
      </c>
      <c r="Q162" s="29" t="s">
        <v>28</v>
      </c>
      <c r="S162" s="30">
        <v>0.91735159817351597</v>
      </c>
      <c r="T162" s="30">
        <v>0.91735159817351597</v>
      </c>
      <c r="U162">
        <f>+VLOOKUP(D162,basev2!$C$5:$Q$173,14,0)</f>
        <v>120</v>
      </c>
      <c r="V162" s="29">
        <f t="shared" si="2"/>
        <v>0</v>
      </c>
    </row>
    <row r="163" spans="1:22">
      <c r="A163" t="s">
        <v>331</v>
      </c>
      <c r="B163">
        <v>2023</v>
      </c>
      <c r="C163">
        <v>66</v>
      </c>
      <c r="D163" s="62">
        <v>660790163</v>
      </c>
      <c r="E163" t="s">
        <v>486</v>
      </c>
      <c r="F163" t="s">
        <v>342</v>
      </c>
      <c r="G163">
        <v>920031796</v>
      </c>
      <c r="H163" t="s">
        <v>333</v>
      </c>
      <c r="I163" s="29" t="s">
        <v>28</v>
      </c>
      <c r="J163" s="29">
        <v>185</v>
      </c>
      <c r="K163" s="29">
        <v>67525</v>
      </c>
      <c r="L163" s="29">
        <v>20</v>
      </c>
      <c r="M163" s="29">
        <v>1520</v>
      </c>
      <c r="N163" s="29">
        <v>64104</v>
      </c>
      <c r="O163" s="29"/>
      <c r="P163" s="29">
        <v>15281</v>
      </c>
      <c r="Q163" s="29" t="s">
        <v>28</v>
      </c>
      <c r="S163" s="30">
        <v>0.94933728248796745</v>
      </c>
      <c r="T163" s="30">
        <v>0.94933728248796745</v>
      </c>
      <c r="U163">
        <f>+VLOOKUP(D163,basev2!$C$5:$Q$173,14,0)</f>
        <v>185</v>
      </c>
      <c r="V163" s="29">
        <f t="shared" si="2"/>
        <v>0</v>
      </c>
    </row>
    <row r="164" spans="1:22">
      <c r="A164" t="s">
        <v>331</v>
      </c>
      <c r="B164">
        <v>2023</v>
      </c>
      <c r="C164">
        <v>81</v>
      </c>
      <c r="D164" s="62">
        <v>810000158</v>
      </c>
      <c r="E164" t="s">
        <v>487</v>
      </c>
      <c r="F164" t="s">
        <v>34</v>
      </c>
      <c r="G164">
        <v>240000265</v>
      </c>
      <c r="H164" t="s">
        <v>333</v>
      </c>
      <c r="I164" s="29" t="s">
        <v>28</v>
      </c>
      <c r="J164" s="29">
        <v>30</v>
      </c>
      <c r="K164" s="29">
        <v>10950</v>
      </c>
      <c r="L164" s="29"/>
      <c r="M164" s="29">
        <v>350</v>
      </c>
      <c r="N164" s="29">
        <v>9907</v>
      </c>
      <c r="O164" s="29"/>
      <c r="P164" s="29">
        <v>0</v>
      </c>
      <c r="Q164" s="29" t="s">
        <v>28</v>
      </c>
      <c r="S164" s="30">
        <v>0.90474885844748854</v>
      </c>
      <c r="T164" s="30">
        <v>0.90474885844748854</v>
      </c>
      <c r="U164">
        <f>+VLOOKUP(D164,basev2!$C$5:$Q$173,14,0)</f>
        <v>30</v>
      </c>
      <c r="V164" s="29">
        <f t="shared" si="2"/>
        <v>0</v>
      </c>
    </row>
    <row r="165" spans="1:22">
      <c r="A165" t="s">
        <v>331</v>
      </c>
      <c r="B165">
        <v>2023</v>
      </c>
      <c r="C165">
        <v>81</v>
      </c>
      <c r="D165" s="62">
        <v>810000232</v>
      </c>
      <c r="E165" t="s">
        <v>488</v>
      </c>
      <c r="F165" t="s">
        <v>34</v>
      </c>
      <c r="G165">
        <v>810099903</v>
      </c>
      <c r="H165" t="s">
        <v>333</v>
      </c>
      <c r="I165" s="29" t="s">
        <v>28</v>
      </c>
      <c r="J165" s="29">
        <v>104</v>
      </c>
      <c r="K165" s="29">
        <v>37960</v>
      </c>
      <c r="L165" s="29">
        <v>29</v>
      </c>
      <c r="M165" s="29">
        <v>938</v>
      </c>
      <c r="N165" s="29">
        <v>33579</v>
      </c>
      <c r="O165" s="29"/>
      <c r="P165" s="29">
        <v>7097</v>
      </c>
      <c r="Q165" s="29" t="s">
        <v>28</v>
      </c>
      <c r="S165" s="30">
        <v>0.88458904109589043</v>
      </c>
      <c r="T165" s="30">
        <v>0.88458904109589043</v>
      </c>
      <c r="U165">
        <f>+VLOOKUP(D165,basev2!$C$5:$Q$173,14,0)</f>
        <v>104</v>
      </c>
      <c r="V165" s="29">
        <f t="shared" si="2"/>
        <v>0</v>
      </c>
    </row>
    <row r="166" spans="1:22">
      <c r="A166" t="s">
        <v>331</v>
      </c>
      <c r="B166">
        <v>2023</v>
      </c>
      <c r="C166">
        <v>81</v>
      </c>
      <c r="D166" s="62">
        <v>810000448</v>
      </c>
      <c r="E166" t="s">
        <v>489</v>
      </c>
      <c r="F166" t="s">
        <v>34</v>
      </c>
      <c r="G166">
        <v>750050759</v>
      </c>
      <c r="H166" t="s">
        <v>333</v>
      </c>
      <c r="I166" s="29" t="s">
        <v>28</v>
      </c>
      <c r="J166" s="29">
        <v>30</v>
      </c>
      <c r="K166" s="29">
        <v>10980</v>
      </c>
      <c r="L166" s="29">
        <v>5</v>
      </c>
      <c r="M166" s="29">
        <v>380</v>
      </c>
      <c r="N166" s="29">
        <v>9166</v>
      </c>
      <c r="O166" s="29"/>
      <c r="P166" s="29">
        <v>1413</v>
      </c>
      <c r="Q166" s="29" t="s">
        <v>28</v>
      </c>
      <c r="S166" s="30">
        <v>0.83707762557077625</v>
      </c>
      <c r="T166" s="30">
        <v>0.83479052823315114</v>
      </c>
      <c r="U166">
        <f>+VLOOKUP(D166,basev2!$C$5:$Q$173,14,0)</f>
        <v>30</v>
      </c>
      <c r="V166" s="29">
        <f t="shared" si="2"/>
        <v>0</v>
      </c>
    </row>
    <row r="167" spans="1:22">
      <c r="A167" t="s">
        <v>331</v>
      </c>
      <c r="B167">
        <v>2023</v>
      </c>
      <c r="C167">
        <v>81</v>
      </c>
      <c r="D167" s="62">
        <v>810000513</v>
      </c>
      <c r="E167" t="s">
        <v>191</v>
      </c>
      <c r="F167" t="s">
        <v>23</v>
      </c>
      <c r="G167">
        <v>810000349</v>
      </c>
      <c r="H167" t="s">
        <v>333</v>
      </c>
      <c r="I167" s="29" t="s">
        <v>28</v>
      </c>
      <c r="J167" s="29">
        <v>27</v>
      </c>
      <c r="K167" s="29">
        <v>9855</v>
      </c>
      <c r="L167" s="29">
        <v>4</v>
      </c>
      <c r="M167" s="29">
        <v>290</v>
      </c>
      <c r="N167" s="29">
        <v>8905</v>
      </c>
      <c r="O167" s="29"/>
      <c r="P167" s="29">
        <v>930</v>
      </c>
      <c r="Q167" s="29" t="s">
        <v>28</v>
      </c>
      <c r="S167" s="30">
        <v>0.90360223236935566</v>
      </c>
      <c r="T167" s="30">
        <v>0.90360223236935566</v>
      </c>
      <c r="U167">
        <f>+VLOOKUP(G167,basev2!$C$5:$Q$173,14,0)</f>
        <v>27</v>
      </c>
      <c r="V167" s="29">
        <f t="shared" si="2"/>
        <v>0</v>
      </c>
    </row>
    <row r="168" spans="1:22">
      <c r="A168" t="s">
        <v>331</v>
      </c>
      <c r="B168">
        <v>2023</v>
      </c>
      <c r="C168">
        <v>81</v>
      </c>
      <c r="D168" s="62">
        <v>810000539</v>
      </c>
      <c r="E168" t="s">
        <v>490</v>
      </c>
      <c r="F168" t="s">
        <v>23</v>
      </c>
      <c r="G168">
        <v>810000398</v>
      </c>
      <c r="H168" t="s">
        <v>333</v>
      </c>
      <c r="I168" s="29" t="s">
        <v>28</v>
      </c>
      <c r="J168" s="29">
        <v>20</v>
      </c>
      <c r="K168" s="29">
        <v>7300</v>
      </c>
      <c r="L168" s="29"/>
      <c r="M168" s="29">
        <v>188</v>
      </c>
      <c r="N168" s="29">
        <v>5529</v>
      </c>
      <c r="O168" s="29"/>
      <c r="P168" s="29">
        <v>0</v>
      </c>
      <c r="Q168" s="29" t="s">
        <v>28</v>
      </c>
      <c r="S168" s="30">
        <v>0.75739726027397258</v>
      </c>
      <c r="T168" s="30">
        <v>0.75739726027397258</v>
      </c>
      <c r="U168">
        <f>+VLOOKUP(G168,basev2!$C$5:$Q$173,14,0)</f>
        <v>20</v>
      </c>
      <c r="V168" s="29">
        <f t="shared" si="2"/>
        <v>0</v>
      </c>
    </row>
    <row r="169" spans="1:22">
      <c r="A169" t="s">
        <v>331</v>
      </c>
      <c r="B169">
        <v>2023</v>
      </c>
      <c r="C169">
        <v>81</v>
      </c>
      <c r="D169" s="62">
        <v>810000547</v>
      </c>
      <c r="E169" t="s">
        <v>491</v>
      </c>
      <c r="F169" t="s">
        <v>23</v>
      </c>
      <c r="G169">
        <v>810000380</v>
      </c>
      <c r="H169" t="s">
        <v>333</v>
      </c>
      <c r="I169" s="29" t="s">
        <v>28</v>
      </c>
      <c r="J169" s="29">
        <v>78</v>
      </c>
      <c r="K169" s="29">
        <v>28470</v>
      </c>
      <c r="L169" s="29">
        <v>5</v>
      </c>
      <c r="M169" s="29">
        <v>585</v>
      </c>
      <c r="N169" s="29">
        <v>18485</v>
      </c>
      <c r="O169" s="29"/>
      <c r="P169" s="29">
        <v>228</v>
      </c>
      <c r="Q169" s="29" t="s">
        <v>28</v>
      </c>
      <c r="S169" s="30">
        <v>0.6492799438004917</v>
      </c>
      <c r="T169" s="30">
        <v>0.6492799438004917</v>
      </c>
      <c r="U169">
        <f>+VLOOKUP(G169,basev2!$C$5:$Q$173,14,0)</f>
        <v>116</v>
      </c>
      <c r="V169" s="29">
        <f t="shared" si="2"/>
        <v>38</v>
      </c>
    </row>
    <row r="170" spans="1:22">
      <c r="A170" t="s">
        <v>331</v>
      </c>
      <c r="B170">
        <v>2023</v>
      </c>
      <c r="C170">
        <v>81</v>
      </c>
      <c r="D170" s="62">
        <v>810000562</v>
      </c>
      <c r="E170" t="s">
        <v>492</v>
      </c>
      <c r="F170" t="s">
        <v>23</v>
      </c>
      <c r="G170">
        <v>810000455</v>
      </c>
      <c r="H170" t="s">
        <v>333</v>
      </c>
      <c r="I170" s="29" t="s">
        <v>28</v>
      </c>
      <c r="J170" s="29">
        <v>60</v>
      </c>
      <c r="K170" s="29">
        <v>21900</v>
      </c>
      <c r="L170" s="29">
        <v>5</v>
      </c>
      <c r="M170" s="29">
        <v>487</v>
      </c>
      <c r="N170" s="29">
        <v>17340</v>
      </c>
      <c r="O170" s="29"/>
      <c r="P170" s="29">
        <v>3055</v>
      </c>
      <c r="Q170" s="29" t="s">
        <v>28</v>
      </c>
      <c r="S170" s="30">
        <v>0.79178082191780819</v>
      </c>
      <c r="T170" s="30">
        <v>0.79178082191780819</v>
      </c>
      <c r="U170">
        <f>+VLOOKUP(G170,basev2!$C$5:$Q$173,14,0)</f>
        <v>60</v>
      </c>
      <c r="V170" s="29">
        <f t="shared" si="2"/>
        <v>0</v>
      </c>
    </row>
    <row r="171" spans="1:22">
      <c r="A171" t="s">
        <v>331</v>
      </c>
      <c r="B171">
        <v>2023</v>
      </c>
      <c r="C171">
        <v>81</v>
      </c>
      <c r="D171" s="62">
        <v>810003954</v>
      </c>
      <c r="E171" t="s">
        <v>493</v>
      </c>
      <c r="F171" t="s">
        <v>34</v>
      </c>
      <c r="G171">
        <v>810099903</v>
      </c>
      <c r="H171" t="s">
        <v>333</v>
      </c>
      <c r="I171" s="29" t="s">
        <v>28</v>
      </c>
      <c r="J171" s="29">
        <v>72</v>
      </c>
      <c r="K171" s="29">
        <v>26280</v>
      </c>
      <c r="L171" s="29"/>
      <c r="M171" s="29">
        <v>564</v>
      </c>
      <c r="N171" s="29">
        <v>23360</v>
      </c>
      <c r="O171" s="29"/>
      <c r="P171" s="29">
        <v>0</v>
      </c>
      <c r="Q171" s="29" t="s">
        <v>28</v>
      </c>
      <c r="S171" s="30">
        <v>0.88888888888888884</v>
      </c>
      <c r="T171" s="30">
        <v>0.88888888888888884</v>
      </c>
      <c r="U171">
        <f>+VLOOKUP(D171,basev2!$C$5:$Q$173,14,0)</f>
        <v>72</v>
      </c>
      <c r="V171" s="29">
        <f t="shared" si="2"/>
        <v>0</v>
      </c>
    </row>
    <row r="172" spans="1:22">
      <c r="A172" t="s">
        <v>331</v>
      </c>
      <c r="B172">
        <v>2023</v>
      </c>
      <c r="C172">
        <v>81</v>
      </c>
      <c r="D172" s="62">
        <v>810004200</v>
      </c>
      <c r="E172" t="s">
        <v>494</v>
      </c>
      <c r="F172" t="s">
        <v>342</v>
      </c>
      <c r="G172">
        <v>310025010</v>
      </c>
      <c r="H172" t="s">
        <v>333</v>
      </c>
      <c r="I172" s="29" t="s">
        <v>28</v>
      </c>
      <c r="J172" s="29">
        <v>108</v>
      </c>
      <c r="K172" s="29">
        <v>39420</v>
      </c>
      <c r="L172" s="29"/>
      <c r="M172" s="29">
        <v>641</v>
      </c>
      <c r="N172" s="29">
        <v>25341</v>
      </c>
      <c r="O172" s="29"/>
      <c r="P172" s="29">
        <v>0</v>
      </c>
      <c r="Q172" s="29" t="s">
        <v>28</v>
      </c>
      <c r="S172" s="30">
        <v>0.64284627092846269</v>
      </c>
      <c r="T172" s="30">
        <v>0.64284627092846269</v>
      </c>
      <c r="U172">
        <f>+VLOOKUP(D172,basev2!$C$5:$Q$173,14,0)</f>
        <v>108</v>
      </c>
      <c r="V172" s="29">
        <f t="shared" si="2"/>
        <v>0</v>
      </c>
    </row>
    <row r="173" spans="1:22">
      <c r="A173" t="s">
        <v>331</v>
      </c>
      <c r="B173">
        <v>2023</v>
      </c>
      <c r="C173">
        <v>81</v>
      </c>
      <c r="D173" s="62">
        <v>810099838</v>
      </c>
      <c r="E173" t="s">
        <v>495</v>
      </c>
      <c r="F173" t="s">
        <v>23</v>
      </c>
      <c r="G173">
        <v>810000380</v>
      </c>
      <c r="H173" t="s">
        <v>333</v>
      </c>
      <c r="I173" s="29" t="s">
        <v>28</v>
      </c>
      <c r="J173" s="29">
        <v>38</v>
      </c>
      <c r="K173" s="29">
        <v>13870</v>
      </c>
      <c r="L173" s="29">
        <v>2</v>
      </c>
      <c r="M173" s="29">
        <v>370</v>
      </c>
      <c r="N173" s="29">
        <v>11826</v>
      </c>
      <c r="O173" s="29"/>
      <c r="P173" s="29">
        <v>44</v>
      </c>
      <c r="Q173" s="29" t="s">
        <v>28</v>
      </c>
      <c r="S173" s="30">
        <v>0.85263157894736841</v>
      </c>
      <c r="T173" s="30">
        <v>0.85263157894736841</v>
      </c>
      <c r="U173">
        <f>+VLOOKUP(G173,basev2!$C$5:$Q$173,14,0)</f>
        <v>116</v>
      </c>
      <c r="V173" s="29">
        <f t="shared" si="2"/>
        <v>78</v>
      </c>
    </row>
    <row r="174" spans="1:22">
      <c r="A174" t="s">
        <v>331</v>
      </c>
      <c r="B174">
        <v>2023</v>
      </c>
      <c r="C174">
        <v>81</v>
      </c>
      <c r="D174" s="62">
        <v>810101170</v>
      </c>
      <c r="E174" t="s">
        <v>496</v>
      </c>
      <c r="F174" t="s">
        <v>342</v>
      </c>
      <c r="G174">
        <v>810101162</v>
      </c>
      <c r="H174" t="s">
        <v>333</v>
      </c>
      <c r="I174" s="29" t="s">
        <v>28</v>
      </c>
      <c r="J174" s="29">
        <v>84</v>
      </c>
      <c r="K174" s="29">
        <v>30660</v>
      </c>
      <c r="L174" s="29">
        <v>31</v>
      </c>
      <c r="M174" s="29">
        <v>785</v>
      </c>
      <c r="N174" s="29">
        <v>27533</v>
      </c>
      <c r="O174" s="29"/>
      <c r="P174" s="29">
        <v>5634</v>
      </c>
      <c r="Q174" s="29" t="s">
        <v>28</v>
      </c>
      <c r="S174" s="30">
        <v>0.89801043705153294</v>
      </c>
      <c r="T174" s="30">
        <v>0.89801043705153294</v>
      </c>
      <c r="U174">
        <f>+VLOOKUP(D174,basev2!$C$5:$Q$173,14,0)</f>
        <v>84</v>
      </c>
      <c r="V174" s="29">
        <f t="shared" si="2"/>
        <v>0</v>
      </c>
    </row>
    <row r="175" spans="1:22">
      <c r="A175" t="s">
        <v>331</v>
      </c>
      <c r="B175">
        <v>2023</v>
      </c>
      <c r="C175">
        <v>82</v>
      </c>
      <c r="D175" s="62">
        <v>820000032</v>
      </c>
      <c r="E175" t="s">
        <v>200</v>
      </c>
      <c r="F175" t="s">
        <v>23</v>
      </c>
      <c r="G175">
        <v>820000016</v>
      </c>
      <c r="H175" t="s">
        <v>333</v>
      </c>
      <c r="I175" s="29" t="s">
        <v>28</v>
      </c>
      <c r="J175" s="29">
        <v>50</v>
      </c>
      <c r="K175" s="29">
        <v>16110</v>
      </c>
      <c r="L175" s="29">
        <v>15</v>
      </c>
      <c r="M175" s="29">
        <v>493</v>
      </c>
      <c r="N175" s="29">
        <v>14383</v>
      </c>
      <c r="O175" s="29"/>
      <c r="P175" s="29">
        <v>4498</v>
      </c>
      <c r="Q175" s="29" t="s">
        <v>28</v>
      </c>
      <c r="S175" s="30">
        <v>0.78810958904109585</v>
      </c>
      <c r="T175" s="30">
        <v>0.89279950341402858</v>
      </c>
      <c r="U175">
        <f>+VLOOKUP(G175,basev2!$C$5:$Q$173,14,0)</f>
        <v>50</v>
      </c>
      <c r="V175" s="29">
        <f t="shared" si="2"/>
        <v>0</v>
      </c>
    </row>
    <row r="176" spans="1:22">
      <c r="A176" t="s">
        <v>331</v>
      </c>
      <c r="B176">
        <v>2023</v>
      </c>
      <c r="C176">
        <v>82</v>
      </c>
      <c r="D176" s="62">
        <v>820000198</v>
      </c>
      <c r="E176" t="s">
        <v>497</v>
      </c>
      <c r="F176" t="s">
        <v>23</v>
      </c>
      <c r="G176">
        <v>820004950</v>
      </c>
      <c r="H176" t="s">
        <v>333</v>
      </c>
      <c r="I176" s="29" t="s">
        <v>28</v>
      </c>
      <c r="J176" s="29">
        <v>36</v>
      </c>
      <c r="K176" s="29">
        <v>13140</v>
      </c>
      <c r="L176" s="29"/>
      <c r="M176" s="29">
        <v>323</v>
      </c>
      <c r="N176" s="29">
        <v>11782</v>
      </c>
      <c r="O176" s="29"/>
      <c r="P176" s="29">
        <v>0</v>
      </c>
      <c r="Q176" s="29" t="s">
        <v>28</v>
      </c>
      <c r="S176" s="30">
        <v>0.89665144596651447</v>
      </c>
      <c r="T176" s="30">
        <v>0.89665144596651447</v>
      </c>
      <c r="U176">
        <f>+VLOOKUP(G176,basev2!$C$5:$Q$173,14,0)</f>
        <v>36</v>
      </c>
      <c r="V176" s="29">
        <f t="shared" si="2"/>
        <v>0</v>
      </c>
    </row>
    <row r="177" spans="1:22">
      <c r="A177" t="s">
        <v>331</v>
      </c>
      <c r="B177">
        <v>2023</v>
      </c>
      <c r="C177">
        <v>82</v>
      </c>
      <c r="D177" s="62">
        <v>820000412</v>
      </c>
      <c r="E177" t="s">
        <v>498</v>
      </c>
      <c r="F177" t="s">
        <v>342</v>
      </c>
      <c r="G177">
        <v>820000560</v>
      </c>
      <c r="H177" t="s">
        <v>333</v>
      </c>
      <c r="I177" s="29" t="s">
        <v>28</v>
      </c>
      <c r="J177" s="29">
        <v>60</v>
      </c>
      <c r="K177" s="29">
        <v>21900</v>
      </c>
      <c r="L177" s="29"/>
      <c r="M177" s="29">
        <v>644</v>
      </c>
      <c r="N177" s="29">
        <v>18880</v>
      </c>
      <c r="O177" s="29"/>
      <c r="P177" s="29">
        <v>0</v>
      </c>
      <c r="Q177" s="29" t="s">
        <v>28</v>
      </c>
      <c r="S177" s="30">
        <v>0.86210045662100454</v>
      </c>
      <c r="T177" s="30">
        <v>0.86210045662100454</v>
      </c>
      <c r="U177">
        <f>+VLOOKUP(D177,basev2!$C$5:$Q$173,14,0)</f>
        <v>60</v>
      </c>
      <c r="V177" s="29">
        <f t="shared" si="2"/>
        <v>0</v>
      </c>
    </row>
    <row r="178" spans="1:22">
      <c r="A178" t="s">
        <v>331</v>
      </c>
      <c r="B178">
        <v>2023</v>
      </c>
      <c r="C178">
        <v>82</v>
      </c>
      <c r="D178" s="62">
        <v>820000420</v>
      </c>
      <c r="E178" t="s">
        <v>499</v>
      </c>
      <c r="F178" t="s">
        <v>23</v>
      </c>
      <c r="G178">
        <v>820000206</v>
      </c>
      <c r="H178" t="s">
        <v>333</v>
      </c>
      <c r="I178" s="29" t="s">
        <v>28</v>
      </c>
      <c r="J178" s="29">
        <v>33</v>
      </c>
      <c r="K178" s="29">
        <v>12045</v>
      </c>
      <c r="L178" s="29"/>
      <c r="M178" s="29">
        <v>251</v>
      </c>
      <c r="N178" s="29">
        <v>10299</v>
      </c>
      <c r="O178" s="29"/>
      <c r="P178" s="29">
        <v>0</v>
      </c>
      <c r="Q178" s="29" t="s">
        <v>28</v>
      </c>
      <c r="S178" s="30">
        <v>0.85504358655043589</v>
      </c>
      <c r="T178" s="30">
        <v>0.85504358655043589</v>
      </c>
      <c r="U178">
        <f>+VLOOKUP(G178,basev2!$C$5:$Q$173,14,0)</f>
        <v>33</v>
      </c>
      <c r="V178" s="29">
        <f t="shared" si="2"/>
        <v>0</v>
      </c>
    </row>
    <row r="179" spans="1:22">
      <c r="A179" t="s">
        <v>331</v>
      </c>
      <c r="B179">
        <v>2023</v>
      </c>
      <c r="C179">
        <v>82</v>
      </c>
      <c r="D179" s="62">
        <v>820000461</v>
      </c>
      <c r="E179" t="s">
        <v>500</v>
      </c>
      <c r="F179" t="s">
        <v>23</v>
      </c>
      <c r="G179">
        <v>820000248</v>
      </c>
      <c r="H179" t="s">
        <v>333</v>
      </c>
      <c r="I179" s="29" t="s">
        <v>28</v>
      </c>
      <c r="J179" s="29">
        <v>30</v>
      </c>
      <c r="K179" s="29">
        <v>10950</v>
      </c>
      <c r="L179" s="29"/>
      <c r="M179" s="29">
        <v>383</v>
      </c>
      <c r="N179" s="29">
        <v>10358</v>
      </c>
      <c r="O179" s="29"/>
      <c r="P179" s="29">
        <v>0</v>
      </c>
      <c r="Q179" s="29" t="s">
        <v>28</v>
      </c>
      <c r="S179" s="30">
        <v>0.94593607305936078</v>
      </c>
      <c r="T179" s="30">
        <v>0.94593607305936078</v>
      </c>
      <c r="U179">
        <f>+VLOOKUP(G179,basev2!$C$5:$Q$173,14,0)</f>
        <v>30</v>
      </c>
      <c r="V179" s="29">
        <f t="shared" si="2"/>
        <v>0</v>
      </c>
    </row>
    <row r="180" spans="1:22">
      <c r="A180" t="s">
        <v>331</v>
      </c>
      <c r="B180">
        <v>2023</v>
      </c>
      <c r="C180">
        <v>82</v>
      </c>
      <c r="D180" s="62">
        <v>820002350</v>
      </c>
      <c r="E180" t="s">
        <v>501</v>
      </c>
      <c r="F180" t="s">
        <v>342</v>
      </c>
      <c r="G180">
        <v>820000578</v>
      </c>
      <c r="H180" t="s">
        <v>333</v>
      </c>
      <c r="I180" s="29" t="s">
        <v>28</v>
      </c>
      <c r="J180" s="29">
        <v>92</v>
      </c>
      <c r="K180" s="29">
        <v>33580</v>
      </c>
      <c r="L180" s="29"/>
      <c r="M180" s="29">
        <v>1386</v>
      </c>
      <c r="N180" s="29">
        <v>28689</v>
      </c>
      <c r="O180" s="29"/>
      <c r="P180" s="29">
        <v>0</v>
      </c>
      <c r="Q180" s="29" t="s">
        <v>28</v>
      </c>
      <c r="S180" s="30">
        <v>0.85434782608695647</v>
      </c>
      <c r="T180" s="30">
        <v>0.85434782608695647</v>
      </c>
      <c r="U180">
        <f>+VLOOKUP(D180,basev2!$C$5:$Q$173,14,0)</f>
        <v>92</v>
      </c>
      <c r="V180" s="29">
        <f t="shared" si="2"/>
        <v>0</v>
      </c>
    </row>
    <row r="181" spans="1:22">
      <c r="A181" t="s">
        <v>331</v>
      </c>
      <c r="B181">
        <v>2023</v>
      </c>
      <c r="C181">
        <v>82</v>
      </c>
      <c r="D181" s="62">
        <v>820003218</v>
      </c>
      <c r="E181" t="s">
        <v>502</v>
      </c>
      <c r="F181" t="s">
        <v>342</v>
      </c>
      <c r="G181">
        <v>820008142</v>
      </c>
      <c r="H181" t="s">
        <v>333</v>
      </c>
      <c r="I181" s="29" t="s">
        <v>28</v>
      </c>
      <c r="J181" s="29">
        <v>140</v>
      </c>
      <c r="K181" s="29">
        <v>51100</v>
      </c>
      <c r="L181" s="29">
        <v>10</v>
      </c>
      <c r="M181" s="29">
        <v>1177</v>
      </c>
      <c r="N181" s="29">
        <v>49677</v>
      </c>
      <c r="O181" s="29"/>
      <c r="P181" s="29">
        <v>2743</v>
      </c>
      <c r="Q181" s="29" t="s">
        <v>28</v>
      </c>
      <c r="S181" s="30">
        <v>0.97215264187866923</v>
      </c>
      <c r="T181" s="30">
        <v>0.97215264187866923</v>
      </c>
      <c r="U181">
        <f>+VLOOKUP(D181,basev2!$C$5:$Q$173,14,0)</f>
        <v>140</v>
      </c>
      <c r="V181" s="29">
        <f t="shared" si="2"/>
        <v>0</v>
      </c>
    </row>
    <row r="183" spans="1:22">
      <c r="J183" s="29">
        <f>+SUM(J3:J181)</f>
        <v>10656</v>
      </c>
      <c r="L183" s="29">
        <f>+SUM(L3:L181)</f>
        <v>1764</v>
      </c>
      <c r="M183" s="29">
        <f>+SUM(M3:M181)</f>
        <v>97453</v>
      </c>
      <c r="V183" s="29" t="e">
        <f>+SUM(V4:V173)</f>
        <v>#N/A</v>
      </c>
    </row>
    <row r="185" spans="1:22">
      <c r="I185" t="s">
        <v>1504</v>
      </c>
      <c r="J185" s="29">
        <f>+J55+J58+J70+J72</f>
        <v>187</v>
      </c>
      <c r="K185" s="29">
        <f>+K55+K58+K70+K72</f>
        <v>66519</v>
      </c>
      <c r="L185" s="29">
        <f>+L55+L58+L70+L72</f>
        <v>35</v>
      </c>
      <c r="M185" s="29">
        <f>+M55+M58+M70+M72</f>
        <v>1749</v>
      </c>
      <c r="N185" s="29">
        <f>+N55+N58+N70+N72</f>
        <v>49276</v>
      </c>
      <c r="P185" s="29">
        <f>+P55+P58+P70+P72</f>
        <v>8924</v>
      </c>
    </row>
    <row r="186" spans="1:22">
      <c r="G186">
        <v>340011295</v>
      </c>
      <c r="I186" t="s">
        <v>1505</v>
      </c>
      <c r="J186" s="29">
        <f>+J93+J110+J119</f>
        <v>72</v>
      </c>
      <c r="K186" s="29">
        <f t="shared" ref="K186:N186" si="3">+K93+K110+K119</f>
        <v>26280</v>
      </c>
      <c r="L186" s="29">
        <f t="shared" si="3"/>
        <v>10</v>
      </c>
      <c r="M186" s="29">
        <f t="shared" si="3"/>
        <v>814</v>
      </c>
      <c r="N186" s="29">
        <f t="shared" si="3"/>
        <v>23143</v>
      </c>
      <c r="P186" s="29">
        <f t="shared" ref="P186" si="4">+P93+P110+P119</f>
        <v>1596</v>
      </c>
    </row>
    <row r="187" spans="1:22">
      <c r="I187" t="s">
        <v>1507</v>
      </c>
      <c r="J187" s="29">
        <f>+J144+J145+J146</f>
        <v>133</v>
      </c>
      <c r="K187" s="29">
        <f t="shared" ref="K187:N187" si="5">+K144+K145+K146</f>
        <v>48545</v>
      </c>
      <c r="L187" s="29">
        <f t="shared" si="5"/>
        <v>0</v>
      </c>
      <c r="M187" s="29">
        <f t="shared" si="5"/>
        <v>1022</v>
      </c>
      <c r="N187" s="29">
        <f t="shared" si="5"/>
        <v>35287</v>
      </c>
      <c r="P187" s="29">
        <f t="shared" ref="P187" si="6">+P144+P145+P146</f>
        <v>0</v>
      </c>
    </row>
    <row r="188" spans="1:22">
      <c r="I188" t="s">
        <v>1508</v>
      </c>
      <c r="J188" s="29">
        <f>+J98+J117</f>
        <v>86</v>
      </c>
      <c r="K188" s="29">
        <f t="shared" ref="K188:N188" si="7">+K98+K117</f>
        <v>29575</v>
      </c>
      <c r="L188" s="29">
        <f t="shared" si="7"/>
        <v>21</v>
      </c>
      <c r="M188" s="29">
        <f t="shared" si="7"/>
        <v>1171</v>
      </c>
      <c r="N188" s="29">
        <f t="shared" si="7"/>
        <v>21579</v>
      </c>
      <c r="P188" s="29">
        <f t="shared" ref="P188" si="8">+P98+P117</f>
        <v>6899</v>
      </c>
    </row>
    <row r="189" spans="1:22">
      <c r="I189" t="s">
        <v>1509</v>
      </c>
      <c r="J189" s="29">
        <f>+J46+J47+J48</f>
        <v>335</v>
      </c>
      <c r="K189" s="29">
        <f>+K46+K47+K48</f>
        <v>111325</v>
      </c>
      <c r="L189" s="29">
        <f>+L46+L47+L48</f>
        <v>73</v>
      </c>
      <c r="M189" s="29">
        <f>+M46+M47+M48</f>
        <v>2757</v>
      </c>
      <c r="N189" s="29">
        <f>+N46+N47+N48</f>
        <v>86300</v>
      </c>
      <c r="P189" s="29">
        <f>+P46+P47+P48</f>
        <v>13362</v>
      </c>
    </row>
    <row r="194" spans="1:22">
      <c r="A194" t="s">
        <v>331</v>
      </c>
      <c r="B194">
        <v>2023</v>
      </c>
      <c r="C194">
        <v>31</v>
      </c>
      <c r="D194" s="62">
        <v>310780481</v>
      </c>
      <c r="E194" t="s">
        <v>1519</v>
      </c>
      <c r="F194" t="s">
        <v>34</v>
      </c>
      <c r="G194">
        <v>340015171</v>
      </c>
      <c r="H194" t="s">
        <v>333</v>
      </c>
      <c r="I194" s="29" t="s">
        <v>28</v>
      </c>
      <c r="J194" s="29">
        <v>30</v>
      </c>
      <c r="K194" s="29">
        <v>8820</v>
      </c>
      <c r="L194" s="29">
        <v>5</v>
      </c>
      <c r="M194" s="29">
        <v>234</v>
      </c>
      <c r="N194" s="29">
        <v>3072</v>
      </c>
      <c r="O194" s="29"/>
      <c r="P194" s="29">
        <v>225</v>
      </c>
      <c r="Q194" s="29" t="s">
        <v>28</v>
      </c>
      <c r="S194" s="30">
        <v>0.28054794520547943</v>
      </c>
      <c r="T194" s="30">
        <v>0.34829931972789113</v>
      </c>
      <c r="U194" t="e">
        <f>+VLOOKUP(D194,basev2!$C$5:$Q$173,14,0)</f>
        <v>#N/A</v>
      </c>
      <c r="V194" s="29" t="e">
        <f>+U194-J194</f>
        <v>#N/A</v>
      </c>
    </row>
  </sheetData>
  <autoFilter ref="A2:V181" xr:uid="{97A11C90-B227-40B4-AAD0-3F9D9A10D7E8}"/>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36ED0-3ADF-42C9-9AFC-0D6259E7F211}">
  <sheetPr filterMode="1"/>
  <dimension ref="A1:V189"/>
  <sheetViews>
    <sheetView workbookViewId="0">
      <selection activeCell="K127" sqref="K127"/>
    </sheetView>
  </sheetViews>
  <sheetFormatPr baseColWidth="10" defaultColWidth="8.7109375" defaultRowHeight="15"/>
  <cols>
    <col min="1" max="1" width="14.140625" style="99" customWidth="1"/>
    <col min="2" max="2" width="14.140625" style="240" customWidth="1"/>
    <col min="3" max="3" width="5.7109375" style="99" customWidth="1"/>
    <col min="4" max="4" width="44.42578125" style="99" customWidth="1"/>
    <col min="5" max="5" width="14.7109375" style="99" customWidth="1"/>
    <col min="6" max="6" width="13" style="99" customWidth="1"/>
    <col min="7" max="7" width="15.140625" style="99" customWidth="1"/>
    <col min="8" max="10" width="13.7109375" style="99" customWidth="1"/>
    <col min="11" max="11" width="15" style="99" customWidth="1"/>
    <col min="12" max="12" width="12.7109375" style="99" customWidth="1"/>
    <col min="13" max="13" width="13" style="99" customWidth="1"/>
    <col min="14" max="14" width="15.140625" style="99" customWidth="1"/>
    <col min="15" max="15" width="2.28515625" style="99" customWidth="1"/>
    <col min="16" max="16" width="14.7109375" style="99" customWidth="1"/>
    <col min="17" max="17" width="1.7109375" style="99" customWidth="1"/>
    <col min="18" max="18" width="12.7109375" style="99" customWidth="1"/>
    <col min="19" max="19" width="13.7109375" style="99" customWidth="1"/>
    <col min="20" max="20" width="9.7109375" style="99" customWidth="1"/>
    <col min="21" max="21" width="53" style="99" customWidth="1"/>
    <col min="22" max="22" width="13.28515625" style="99" customWidth="1"/>
    <col min="23" max="16384" width="8.7109375" style="99"/>
  </cols>
  <sheetData>
    <row r="1" spans="1:22">
      <c r="A1" s="182" t="s">
        <v>776</v>
      </c>
    </row>
    <row r="2" spans="1:22" ht="15" customHeight="1"/>
    <row r="3" spans="1:22">
      <c r="F3" s="100" t="s">
        <v>506</v>
      </c>
      <c r="G3" s="101">
        <v>399093600</v>
      </c>
      <c r="K3" s="102" t="s">
        <v>507</v>
      </c>
      <c r="L3" s="103">
        <v>408666000</v>
      </c>
      <c r="P3" s="104">
        <v>-612</v>
      </c>
    </row>
    <row r="4" spans="1:22">
      <c r="F4" s="100" t="s">
        <v>505</v>
      </c>
      <c r="G4" s="105">
        <v>4203147.0899999738</v>
      </c>
      <c r="K4" s="106" t="s">
        <v>505</v>
      </c>
      <c r="L4" s="103">
        <v>473017.51999992132</v>
      </c>
      <c r="P4" s="275" t="s">
        <v>508</v>
      </c>
    </row>
    <row r="5" spans="1:22">
      <c r="D5" s="107"/>
      <c r="G5" s="108">
        <v>1.0531732631142102E-2</v>
      </c>
      <c r="L5" s="109">
        <v>1.157467271561425E-3</v>
      </c>
      <c r="P5" s="275"/>
    </row>
    <row r="6" spans="1:22">
      <c r="D6" s="107"/>
      <c r="G6" s="110"/>
      <c r="L6" s="110"/>
      <c r="P6" s="275"/>
    </row>
    <row r="7" spans="1:22" ht="15" customHeight="1">
      <c r="G7" s="111" t="s">
        <v>509</v>
      </c>
      <c r="H7" s="111" t="s">
        <v>510</v>
      </c>
      <c r="I7" s="111" t="s">
        <v>510</v>
      </c>
      <c r="J7" s="111"/>
      <c r="K7" s="276" t="s">
        <v>511</v>
      </c>
      <c r="L7" s="276"/>
      <c r="M7" s="276"/>
      <c r="N7" s="276"/>
      <c r="P7" s="275"/>
      <c r="S7" s="277" t="s">
        <v>512</v>
      </c>
      <c r="T7" s="277"/>
    </row>
    <row r="8" spans="1:22">
      <c r="D8" s="112" t="s">
        <v>228</v>
      </c>
      <c r="F8" s="112" t="s">
        <v>513</v>
      </c>
      <c r="G8" s="113">
        <v>394890452.91000003</v>
      </c>
      <c r="H8" s="114"/>
      <c r="I8" s="114"/>
      <c r="J8" s="114"/>
      <c r="K8" s="113">
        <v>386602110.2700001</v>
      </c>
      <c r="L8" s="113">
        <v>19298627.210000001</v>
      </c>
      <c r="M8" s="113">
        <v>2292245</v>
      </c>
      <c r="N8" s="113">
        <v>408192982.48000014</v>
      </c>
      <c r="P8" s="115">
        <v>408666612</v>
      </c>
      <c r="R8" s="116">
        <v>473629.51999989897</v>
      </c>
    </row>
    <row r="9" spans="1:22" ht="54">
      <c r="A9" s="117" t="s">
        <v>514</v>
      </c>
      <c r="B9" s="241" t="s">
        <v>515</v>
      </c>
      <c r="C9" s="119"/>
      <c r="D9" s="118" t="s">
        <v>516</v>
      </c>
      <c r="E9" s="120" t="s">
        <v>517</v>
      </c>
      <c r="F9" s="120" t="s">
        <v>321</v>
      </c>
      <c r="G9" s="121" t="s">
        <v>518</v>
      </c>
      <c r="H9" s="122" t="s">
        <v>519</v>
      </c>
      <c r="I9" s="123" t="s">
        <v>520</v>
      </c>
      <c r="J9" s="124" t="s">
        <v>521</v>
      </c>
      <c r="K9" s="125" t="s">
        <v>522</v>
      </c>
      <c r="L9" s="126" t="s">
        <v>523</v>
      </c>
      <c r="M9" s="126" t="s">
        <v>524</v>
      </c>
      <c r="N9" s="127" t="s">
        <v>525</v>
      </c>
      <c r="P9" s="128" t="s">
        <v>526</v>
      </c>
      <c r="R9" s="129" t="s">
        <v>527</v>
      </c>
      <c r="S9" s="120" t="s">
        <v>528</v>
      </c>
      <c r="T9" s="120" t="s">
        <v>529</v>
      </c>
      <c r="V9" s="130" t="s">
        <v>530</v>
      </c>
    </row>
    <row r="10" spans="1:22" ht="16.5" hidden="1" customHeight="1">
      <c r="A10" s="131">
        <v>90180019</v>
      </c>
      <c r="B10" s="242">
        <v>90000019</v>
      </c>
      <c r="C10" s="133">
        <v>9</v>
      </c>
      <c r="D10" s="132" t="s">
        <v>531</v>
      </c>
      <c r="E10" s="134" t="s">
        <v>532</v>
      </c>
      <c r="F10" s="135" t="s">
        <v>533</v>
      </c>
      <c r="G10" s="136">
        <v>2035463</v>
      </c>
      <c r="H10" s="136"/>
      <c r="I10" s="137"/>
      <c r="J10" s="136"/>
      <c r="K10" s="136">
        <v>2039088.43</v>
      </c>
      <c r="L10" s="136">
        <v>0</v>
      </c>
      <c r="M10" s="138">
        <v>602670</v>
      </c>
      <c r="N10" s="138">
        <v>2641758.4299999997</v>
      </c>
      <c r="P10" s="113">
        <v>2641758</v>
      </c>
      <c r="R10" s="139">
        <v>-0.42999999970197678</v>
      </c>
      <c r="S10" s="137">
        <v>3625</v>
      </c>
      <c r="T10" s="140">
        <v>1.7809215888473532E-3</v>
      </c>
    </row>
    <row r="11" spans="1:22" ht="16.5" hidden="1" customHeight="1">
      <c r="A11" s="141">
        <v>90781774</v>
      </c>
      <c r="B11" s="243">
        <v>90000175</v>
      </c>
      <c r="C11" s="142">
        <v>9</v>
      </c>
      <c r="D11" s="134" t="s">
        <v>534</v>
      </c>
      <c r="E11" s="134" t="s">
        <v>532</v>
      </c>
      <c r="F11" s="135" t="s">
        <v>533</v>
      </c>
      <c r="G11" s="136">
        <v>4804338.62</v>
      </c>
      <c r="H11" s="136"/>
      <c r="I11" s="137"/>
      <c r="J11" s="136"/>
      <c r="K11" s="136">
        <v>4810767.4400000004</v>
      </c>
      <c r="L11" s="136">
        <v>0</v>
      </c>
      <c r="M11" s="138">
        <v>690958</v>
      </c>
      <c r="N11" s="138">
        <v>5501725.4400000004</v>
      </c>
      <c r="P11" s="113">
        <v>5501725</v>
      </c>
      <c r="R11" s="139">
        <v>-0.44000000040978193</v>
      </c>
      <c r="S11" s="137">
        <v>6428.3799999998882</v>
      </c>
      <c r="T11" s="140">
        <v>1.3380364100979811E-3</v>
      </c>
    </row>
    <row r="12" spans="1:22" ht="16.5" hidden="1" customHeight="1">
      <c r="A12" s="141">
        <v>90781816</v>
      </c>
      <c r="B12" s="243">
        <v>90000183</v>
      </c>
      <c r="C12" s="142">
        <v>9</v>
      </c>
      <c r="D12" s="134" t="s">
        <v>535</v>
      </c>
      <c r="E12" s="134" t="s">
        <v>536</v>
      </c>
      <c r="F12" s="135" t="s">
        <v>533</v>
      </c>
      <c r="G12" s="136">
        <v>3328622.53</v>
      </c>
      <c r="H12" s="136"/>
      <c r="I12" s="137"/>
      <c r="J12" s="136"/>
      <c r="K12" s="136">
        <v>3334359.65</v>
      </c>
      <c r="L12" s="136">
        <v>0</v>
      </c>
      <c r="M12" s="138">
        <v>410503</v>
      </c>
      <c r="N12" s="138">
        <v>3744862.65</v>
      </c>
      <c r="P12" s="113">
        <v>3744862</v>
      </c>
      <c r="R12" s="139">
        <v>-0.64999999990686774</v>
      </c>
      <c r="S12" s="137">
        <v>5736.4700000002049</v>
      </c>
      <c r="T12" s="140">
        <v>1.7233765463938637E-3</v>
      </c>
    </row>
    <row r="13" spans="1:22" ht="16.5" hidden="1" customHeight="1">
      <c r="A13" s="143">
        <v>110003118</v>
      </c>
      <c r="B13" s="243">
        <v>110003118</v>
      </c>
      <c r="C13" s="119">
        <v>11</v>
      </c>
      <c r="D13" s="134" t="s">
        <v>537</v>
      </c>
      <c r="E13" s="134" t="s">
        <v>538</v>
      </c>
      <c r="F13" s="135" t="s">
        <v>539</v>
      </c>
      <c r="G13" s="136">
        <v>3146180</v>
      </c>
      <c r="H13" s="136">
        <v>1</v>
      </c>
      <c r="I13" s="137">
        <v>2730</v>
      </c>
      <c r="J13" s="136">
        <v>3148911</v>
      </c>
      <c r="K13" s="137">
        <v>3172789.78</v>
      </c>
      <c r="L13" s="136"/>
      <c r="M13" s="138">
        <v>-571861</v>
      </c>
      <c r="N13" s="138">
        <v>2600928.7799999998</v>
      </c>
      <c r="P13" s="113">
        <v>2600928</v>
      </c>
      <c r="R13" s="139">
        <v>-0.77999999979510903</v>
      </c>
      <c r="S13" s="137">
        <v>26609</v>
      </c>
      <c r="T13" s="140">
        <v>8.4575580545296208E-3</v>
      </c>
    </row>
    <row r="14" spans="1:22" ht="16.5" hidden="1" customHeight="1">
      <c r="A14" s="143">
        <v>110004942</v>
      </c>
      <c r="B14" s="243">
        <v>110004942</v>
      </c>
      <c r="C14" s="119">
        <v>11</v>
      </c>
      <c r="D14" s="134" t="s">
        <v>540</v>
      </c>
      <c r="E14" s="134" t="s">
        <v>541</v>
      </c>
      <c r="F14" s="135" t="s">
        <v>539</v>
      </c>
      <c r="G14" s="136">
        <v>2090777</v>
      </c>
      <c r="H14" s="136">
        <v>0</v>
      </c>
      <c r="I14" s="137">
        <v>1772</v>
      </c>
      <c r="J14" s="136">
        <v>2092549</v>
      </c>
      <c r="K14" s="137">
        <v>2116295.23</v>
      </c>
      <c r="L14" s="136"/>
      <c r="M14" s="138">
        <v>-566973</v>
      </c>
      <c r="N14" s="138">
        <v>1549322.23</v>
      </c>
      <c r="P14" s="113">
        <v>1549322</v>
      </c>
      <c r="R14" s="139">
        <v>-0.22999999998137355</v>
      </c>
      <c r="S14" s="137">
        <v>25518</v>
      </c>
      <c r="T14" s="140">
        <v>1.2205031909189741E-2</v>
      </c>
    </row>
    <row r="15" spans="1:22" ht="16.5" hidden="1" customHeight="1">
      <c r="A15" s="143">
        <v>110007630</v>
      </c>
      <c r="B15" s="243">
        <v>110007630</v>
      </c>
      <c r="C15" s="119">
        <v>11</v>
      </c>
      <c r="D15" s="134" t="s">
        <v>542</v>
      </c>
      <c r="E15" s="134" t="s">
        <v>543</v>
      </c>
      <c r="F15" s="135" t="s">
        <v>544</v>
      </c>
      <c r="G15" s="136">
        <v>1328968</v>
      </c>
      <c r="H15" s="136"/>
      <c r="I15" s="137"/>
      <c r="J15" s="136"/>
      <c r="K15" s="137">
        <v>1330037.02</v>
      </c>
      <c r="L15" s="136">
        <v>0</v>
      </c>
      <c r="M15" s="138">
        <v>-591523</v>
      </c>
      <c r="N15" s="138">
        <v>738514.02</v>
      </c>
      <c r="P15" s="113">
        <v>738514</v>
      </c>
      <c r="R15" s="139">
        <v>-2.0000000018626451E-2</v>
      </c>
      <c r="S15" s="137">
        <v>1069</v>
      </c>
      <c r="T15" s="140">
        <v>8.0438355174842439E-4</v>
      </c>
    </row>
    <row r="16" spans="1:22" ht="16.5" hidden="1" customHeight="1">
      <c r="A16" s="143">
        <v>110780087</v>
      </c>
      <c r="B16" s="243">
        <v>110000049</v>
      </c>
      <c r="C16" s="119">
        <v>11</v>
      </c>
      <c r="D16" s="134" t="s">
        <v>545</v>
      </c>
      <c r="E16" s="134" t="s">
        <v>543</v>
      </c>
      <c r="F16" s="135" t="s">
        <v>533</v>
      </c>
      <c r="G16" s="136">
        <v>967607.72</v>
      </c>
      <c r="H16" s="136"/>
      <c r="I16" s="137"/>
      <c r="J16" s="136"/>
      <c r="K16" s="137">
        <v>968894.07</v>
      </c>
      <c r="L16" s="136">
        <v>0</v>
      </c>
      <c r="M16" s="138">
        <v>566334</v>
      </c>
      <c r="N16" s="138">
        <v>1535228.0699999998</v>
      </c>
      <c r="P16" s="113">
        <v>1535228</v>
      </c>
      <c r="R16" s="139">
        <v>-6.9999999832361937E-2</v>
      </c>
      <c r="S16" s="137">
        <v>1286.2800000000279</v>
      </c>
      <c r="T16" s="140">
        <v>1.3293403653290695E-3</v>
      </c>
    </row>
    <row r="17" spans="1:20" ht="16.5" hidden="1" customHeight="1">
      <c r="A17" s="143">
        <v>110780137</v>
      </c>
      <c r="B17" s="243">
        <v>110005246</v>
      </c>
      <c r="C17" s="119">
        <v>11</v>
      </c>
      <c r="D17" s="134" t="s">
        <v>546</v>
      </c>
      <c r="E17" s="134" t="s">
        <v>541</v>
      </c>
      <c r="F17" s="135" t="s">
        <v>533</v>
      </c>
      <c r="G17" s="136">
        <v>1155456.83</v>
      </c>
      <c r="H17" s="136"/>
      <c r="I17" s="137"/>
      <c r="J17" s="136"/>
      <c r="K17" s="137">
        <v>1157496.6299999999</v>
      </c>
      <c r="L17" s="136">
        <v>0</v>
      </c>
      <c r="M17" s="138">
        <v>-323400</v>
      </c>
      <c r="N17" s="138">
        <v>834096.62999999989</v>
      </c>
      <c r="P17" s="113">
        <v>834096</v>
      </c>
      <c r="R17" s="139">
        <v>-0.62999999988824129</v>
      </c>
      <c r="S17" s="137">
        <v>2039.1699999999255</v>
      </c>
      <c r="T17" s="140">
        <v>1.7648171243229618E-3</v>
      </c>
    </row>
    <row r="18" spans="1:20" ht="16.5" hidden="1" customHeight="1">
      <c r="A18" s="143">
        <v>110780194</v>
      </c>
      <c r="B18" s="243">
        <v>110780194</v>
      </c>
      <c r="C18" s="119">
        <v>11</v>
      </c>
      <c r="D18" s="134" t="s">
        <v>547</v>
      </c>
      <c r="E18" s="134" t="s">
        <v>548</v>
      </c>
      <c r="F18" s="135" t="s">
        <v>539</v>
      </c>
      <c r="G18" s="136">
        <v>1723642</v>
      </c>
      <c r="H18" s="136">
        <v>0</v>
      </c>
      <c r="I18" s="137">
        <v>1437</v>
      </c>
      <c r="J18" s="136">
        <v>1725079</v>
      </c>
      <c r="K18" s="137">
        <v>1742221.83</v>
      </c>
      <c r="L18" s="136"/>
      <c r="M18" s="138">
        <v>113502</v>
      </c>
      <c r="N18" s="138">
        <v>1855723.83</v>
      </c>
      <c r="P18" s="113">
        <v>1855723</v>
      </c>
      <c r="R18" s="139">
        <v>-0.83000000007450581</v>
      </c>
      <c r="S18" s="137">
        <v>18579</v>
      </c>
      <c r="T18" s="140">
        <v>1.0778920448677858E-2</v>
      </c>
    </row>
    <row r="19" spans="1:20" ht="16.5" hidden="1" customHeight="1">
      <c r="A19" s="143">
        <v>110780202</v>
      </c>
      <c r="B19" s="243">
        <v>110780202</v>
      </c>
      <c r="C19" s="119">
        <v>11</v>
      </c>
      <c r="D19" s="134" t="s">
        <v>549</v>
      </c>
      <c r="E19" s="134" t="s">
        <v>538</v>
      </c>
      <c r="F19" s="135" t="s">
        <v>539</v>
      </c>
      <c r="G19" s="136">
        <v>2305825</v>
      </c>
      <c r="H19" s="136">
        <v>0</v>
      </c>
      <c r="I19" s="137">
        <v>1951</v>
      </c>
      <c r="J19" s="136">
        <v>2307776</v>
      </c>
      <c r="K19" s="137">
        <v>2332225</v>
      </c>
      <c r="L19" s="136"/>
      <c r="M19" s="138">
        <v>-442552</v>
      </c>
      <c r="N19" s="138">
        <v>1889673</v>
      </c>
      <c r="P19" s="113">
        <v>1889673</v>
      </c>
      <c r="R19" s="139">
        <v>0</v>
      </c>
      <c r="S19" s="137">
        <v>26400</v>
      </c>
      <c r="T19" s="140">
        <v>1.1449264363080459E-2</v>
      </c>
    </row>
    <row r="20" spans="1:20" ht="16.5" hidden="1" customHeight="1">
      <c r="A20" s="143">
        <v>110780228</v>
      </c>
      <c r="B20" s="243">
        <v>110780228</v>
      </c>
      <c r="C20" s="119">
        <v>11</v>
      </c>
      <c r="D20" s="134" t="s">
        <v>550</v>
      </c>
      <c r="E20" s="134" t="s">
        <v>541</v>
      </c>
      <c r="F20" s="135" t="s">
        <v>539</v>
      </c>
      <c r="G20" s="136">
        <v>934854</v>
      </c>
      <c r="H20" s="136">
        <v>0</v>
      </c>
      <c r="I20" s="137">
        <v>811</v>
      </c>
      <c r="J20" s="136">
        <v>935665</v>
      </c>
      <c r="K20" s="137">
        <v>942310.57</v>
      </c>
      <c r="L20" s="136"/>
      <c r="M20" s="138">
        <v>-213021</v>
      </c>
      <c r="N20" s="138">
        <v>729289.57</v>
      </c>
      <c r="P20" s="113">
        <v>729289</v>
      </c>
      <c r="R20" s="139">
        <v>-0.56999999994877726</v>
      </c>
      <c r="S20" s="137">
        <v>7456</v>
      </c>
      <c r="T20" s="140">
        <v>7.9755769350080327E-3</v>
      </c>
    </row>
    <row r="21" spans="1:20" ht="16.5" hidden="1" customHeight="1">
      <c r="A21" s="143">
        <v>110780707</v>
      </c>
      <c r="B21" s="243">
        <v>110000189</v>
      </c>
      <c r="C21" s="119">
        <v>11</v>
      </c>
      <c r="D21" s="134" t="s">
        <v>551</v>
      </c>
      <c r="E21" s="134" t="s">
        <v>538</v>
      </c>
      <c r="F21" s="135" t="s">
        <v>533</v>
      </c>
      <c r="G21" s="136">
        <v>1751536.5</v>
      </c>
      <c r="H21" s="136"/>
      <c r="I21" s="137"/>
      <c r="J21" s="136"/>
      <c r="K21" s="137">
        <v>1754587.88</v>
      </c>
      <c r="L21" s="136">
        <v>0</v>
      </c>
      <c r="M21" s="138">
        <v>-288412</v>
      </c>
      <c r="N21" s="138">
        <v>1466175.88</v>
      </c>
      <c r="P21" s="113">
        <v>1466175</v>
      </c>
      <c r="R21" s="139">
        <v>-0.87999999988824129</v>
      </c>
      <c r="S21" s="137">
        <v>3050.5</v>
      </c>
      <c r="T21" s="140">
        <v>1.7416137202964368E-3</v>
      </c>
    </row>
    <row r="22" spans="1:20" ht="16.5" hidden="1" customHeight="1">
      <c r="A22" s="143">
        <v>110780772</v>
      </c>
      <c r="B22" s="243">
        <v>110000247</v>
      </c>
      <c r="C22" s="119">
        <v>11</v>
      </c>
      <c r="D22" s="134" t="s">
        <v>552</v>
      </c>
      <c r="E22" s="134" t="s">
        <v>541</v>
      </c>
      <c r="F22" s="135" t="s">
        <v>533</v>
      </c>
      <c r="G22" s="144">
        <v>1293745.54</v>
      </c>
      <c r="H22" s="136"/>
      <c r="I22" s="137"/>
      <c r="J22" s="136"/>
      <c r="K22" s="137">
        <v>1295997.8500000001</v>
      </c>
      <c r="L22" s="136">
        <v>0</v>
      </c>
      <c r="M22" s="138">
        <v>179678</v>
      </c>
      <c r="N22" s="138">
        <v>1475675.85</v>
      </c>
      <c r="P22" s="113">
        <v>1475675</v>
      </c>
      <c r="R22" s="139">
        <v>-0.85000000009313226</v>
      </c>
      <c r="S22" s="137">
        <v>2251.4599999999627</v>
      </c>
      <c r="T22" s="140">
        <v>1.7402649364881774E-3</v>
      </c>
    </row>
    <row r="23" spans="1:20" ht="16.5" hidden="1" customHeight="1">
      <c r="A23" s="143">
        <v>110781010</v>
      </c>
      <c r="B23" s="243">
        <v>110000262</v>
      </c>
      <c r="C23" s="119">
        <v>11</v>
      </c>
      <c r="D23" s="134" t="s">
        <v>553</v>
      </c>
      <c r="E23" s="134" t="s">
        <v>541</v>
      </c>
      <c r="F23" s="135" t="s">
        <v>533</v>
      </c>
      <c r="G23" s="144">
        <v>1516375.45</v>
      </c>
      <c r="H23" s="136"/>
      <c r="I23" s="137"/>
      <c r="J23" s="136"/>
      <c r="K23" s="137">
        <v>1518979.46</v>
      </c>
      <c r="L23" s="136">
        <v>0</v>
      </c>
      <c r="M23" s="138">
        <v>-423274</v>
      </c>
      <c r="N23" s="138">
        <v>1095705.46</v>
      </c>
      <c r="P23" s="113">
        <v>1095705</v>
      </c>
      <c r="R23" s="139">
        <v>-0.4599999999627471</v>
      </c>
      <c r="S23" s="137">
        <v>2603.5500000000466</v>
      </c>
      <c r="T23" s="140">
        <v>1.71695604805528E-3</v>
      </c>
    </row>
    <row r="24" spans="1:20" ht="16.5" hidden="1" customHeight="1">
      <c r="A24" s="143">
        <v>110786324</v>
      </c>
      <c r="B24" s="243">
        <v>110786746</v>
      </c>
      <c r="C24" s="119">
        <v>11</v>
      </c>
      <c r="D24" s="134" t="s">
        <v>554</v>
      </c>
      <c r="E24" s="134" t="s">
        <v>555</v>
      </c>
      <c r="F24" s="135" t="s">
        <v>544</v>
      </c>
      <c r="G24" s="144">
        <v>1859116.52</v>
      </c>
      <c r="H24" s="136"/>
      <c r="I24" s="137"/>
      <c r="J24" s="136"/>
      <c r="K24" s="137">
        <v>1860561.52</v>
      </c>
      <c r="L24" s="136">
        <v>0</v>
      </c>
      <c r="M24" s="138">
        <v>9335</v>
      </c>
      <c r="N24" s="138">
        <v>1869896.52</v>
      </c>
      <c r="P24" s="113">
        <v>1869896</v>
      </c>
      <c r="R24" s="139">
        <v>-0.52000000001862645</v>
      </c>
      <c r="S24" s="137">
        <v>1444.4799999999814</v>
      </c>
      <c r="T24" s="140">
        <v>7.7697120350476003E-4</v>
      </c>
    </row>
    <row r="25" spans="1:20" ht="16.5" hidden="1" customHeight="1">
      <c r="A25" s="143">
        <v>120004528</v>
      </c>
      <c r="B25" s="243">
        <v>120007554</v>
      </c>
      <c r="C25" s="119">
        <v>12</v>
      </c>
      <c r="D25" s="134" t="s">
        <v>556</v>
      </c>
      <c r="E25" s="134" t="s">
        <v>557</v>
      </c>
      <c r="F25" s="135" t="s">
        <v>533</v>
      </c>
      <c r="G25" s="144">
        <v>1783990.47</v>
      </c>
      <c r="H25" s="136"/>
      <c r="I25" s="137"/>
      <c r="J25" s="136"/>
      <c r="K25" s="137">
        <v>1786361.24</v>
      </c>
      <c r="L25" s="136">
        <v>0</v>
      </c>
      <c r="M25" s="138">
        <v>832206</v>
      </c>
      <c r="N25" s="138">
        <v>2618567.2400000002</v>
      </c>
      <c r="P25" s="113">
        <v>2618567</v>
      </c>
      <c r="R25" s="139">
        <v>-0.24000000022351742</v>
      </c>
      <c r="S25" s="137">
        <v>2370.5300000000279</v>
      </c>
      <c r="T25" s="140">
        <v>1.3287795197695356E-3</v>
      </c>
    </row>
    <row r="26" spans="1:20" ht="16.5" hidden="1" customHeight="1">
      <c r="A26" s="143">
        <v>120004619</v>
      </c>
      <c r="B26" s="243">
        <v>120004668</v>
      </c>
      <c r="C26" s="119">
        <v>12</v>
      </c>
      <c r="D26" s="134" t="s">
        <v>558</v>
      </c>
      <c r="E26" s="134" t="s">
        <v>559</v>
      </c>
      <c r="F26" s="135" t="s">
        <v>533</v>
      </c>
      <c r="G26" s="144">
        <v>1284055.32</v>
      </c>
      <c r="H26" s="136"/>
      <c r="I26" s="137"/>
      <c r="J26" s="136"/>
      <c r="K26" s="137">
        <v>1285924.06</v>
      </c>
      <c r="L26" s="136">
        <v>0</v>
      </c>
      <c r="M26" s="138">
        <v>-26132</v>
      </c>
      <c r="N26" s="138">
        <v>1259792.06</v>
      </c>
      <c r="P26" s="113">
        <v>1259792</v>
      </c>
      <c r="R26" s="139">
        <v>-6.0000000055879354E-2</v>
      </c>
      <c r="S26" s="137">
        <v>1868.6799999999348</v>
      </c>
      <c r="T26" s="140">
        <v>1.4552955553347457E-3</v>
      </c>
    </row>
    <row r="27" spans="1:20" ht="16.5" hidden="1" customHeight="1">
      <c r="A27" s="143">
        <v>120780044</v>
      </c>
      <c r="B27" s="243">
        <v>120783188</v>
      </c>
      <c r="C27" s="119">
        <v>12</v>
      </c>
      <c r="D27" s="134" t="s">
        <v>560</v>
      </c>
      <c r="E27" s="134" t="s">
        <v>561</v>
      </c>
      <c r="F27" s="135" t="s">
        <v>533</v>
      </c>
      <c r="G27" s="144">
        <v>1715313.37</v>
      </c>
      <c r="H27" s="136"/>
      <c r="I27" s="137"/>
      <c r="J27" s="136"/>
      <c r="K27" s="137">
        <v>1717799.37</v>
      </c>
      <c r="L27" s="136">
        <v>0</v>
      </c>
      <c r="M27" s="138">
        <v>763467</v>
      </c>
      <c r="N27" s="138">
        <v>2481266.37</v>
      </c>
      <c r="P27" s="113">
        <v>2481266</v>
      </c>
      <c r="R27" s="139">
        <v>-0.37000000011175871</v>
      </c>
      <c r="S27" s="137">
        <v>2485.6299999998882</v>
      </c>
      <c r="T27" s="140">
        <v>1.4490821580898003E-3</v>
      </c>
    </row>
    <row r="28" spans="1:20" ht="16.5" hidden="1" customHeight="1">
      <c r="A28" s="143">
        <v>120780069</v>
      </c>
      <c r="B28" s="243">
        <v>120000054</v>
      </c>
      <c r="C28" s="119">
        <v>12</v>
      </c>
      <c r="D28" s="134" t="s">
        <v>562</v>
      </c>
      <c r="E28" s="134" t="s">
        <v>563</v>
      </c>
      <c r="F28" s="135" t="s">
        <v>533</v>
      </c>
      <c r="G28" s="136">
        <v>1616199.58</v>
      </c>
      <c r="H28" s="136"/>
      <c r="I28" s="137"/>
      <c r="J28" s="136"/>
      <c r="K28" s="137">
        <v>1618599.28</v>
      </c>
      <c r="L28" s="136">
        <v>0</v>
      </c>
      <c r="M28" s="138">
        <v>601538</v>
      </c>
      <c r="N28" s="138">
        <v>2220137.2800000003</v>
      </c>
      <c r="P28" s="113">
        <v>2220137</v>
      </c>
      <c r="R28" s="139">
        <v>-0.28000000026077032</v>
      </c>
      <c r="S28" s="137">
        <v>2399.4199999999255</v>
      </c>
      <c r="T28" s="140">
        <v>1.4846062514135324E-3</v>
      </c>
    </row>
    <row r="29" spans="1:20" ht="16.5" hidden="1" customHeight="1">
      <c r="A29" s="143">
        <v>120780085</v>
      </c>
      <c r="B29" s="243">
        <v>120000070</v>
      </c>
      <c r="C29" s="119">
        <v>12</v>
      </c>
      <c r="D29" s="134" t="s">
        <v>564</v>
      </c>
      <c r="E29" s="134" t="s">
        <v>565</v>
      </c>
      <c r="F29" s="135" t="s">
        <v>533</v>
      </c>
      <c r="G29" s="136">
        <v>1451185.78</v>
      </c>
      <c r="H29" s="136"/>
      <c r="I29" s="137"/>
      <c r="J29" s="136"/>
      <c r="K29" s="137">
        <v>1453807.3</v>
      </c>
      <c r="L29" s="136">
        <v>0</v>
      </c>
      <c r="M29" s="138">
        <v>247687</v>
      </c>
      <c r="N29" s="138">
        <v>1701494.3</v>
      </c>
      <c r="P29" s="113">
        <v>1701494</v>
      </c>
      <c r="R29" s="139">
        <v>-0.30000000004656613</v>
      </c>
      <c r="S29" s="137">
        <v>2621.2199999999721</v>
      </c>
      <c r="T29" s="140">
        <v>1.8062608083163356E-3</v>
      </c>
    </row>
    <row r="30" spans="1:20" ht="16.5" hidden="1" customHeight="1">
      <c r="A30" s="143">
        <v>120780093</v>
      </c>
      <c r="B30" s="243">
        <v>120000088</v>
      </c>
      <c r="C30" s="119">
        <v>12</v>
      </c>
      <c r="D30" s="134" t="s">
        <v>566</v>
      </c>
      <c r="E30" s="134" t="s">
        <v>561</v>
      </c>
      <c r="F30" s="135" t="s">
        <v>533</v>
      </c>
      <c r="G30" s="136">
        <v>969886.45</v>
      </c>
      <c r="H30" s="136"/>
      <c r="I30" s="137"/>
      <c r="J30" s="136"/>
      <c r="K30" s="137">
        <v>971351.94</v>
      </c>
      <c r="L30" s="136">
        <v>0</v>
      </c>
      <c r="M30" s="138">
        <v>670</v>
      </c>
      <c r="N30" s="138">
        <v>972021.94</v>
      </c>
      <c r="P30" s="113">
        <v>972021</v>
      </c>
      <c r="R30" s="139">
        <v>-0.93999999994412065</v>
      </c>
      <c r="S30" s="137">
        <v>1464.5500000000466</v>
      </c>
      <c r="T30" s="140">
        <v>1.5100221268170586E-3</v>
      </c>
    </row>
    <row r="31" spans="1:20" ht="16.5" hidden="1" customHeight="1">
      <c r="A31" s="143">
        <v>120780101</v>
      </c>
      <c r="B31" s="243">
        <v>120000096</v>
      </c>
      <c r="C31" s="119">
        <v>12</v>
      </c>
      <c r="D31" s="134" t="s">
        <v>567</v>
      </c>
      <c r="E31" s="134" t="s">
        <v>561</v>
      </c>
      <c r="F31" s="135" t="s">
        <v>533</v>
      </c>
      <c r="G31" s="136">
        <v>3843633.74</v>
      </c>
      <c r="H31" s="136"/>
      <c r="I31" s="137"/>
      <c r="J31" s="136"/>
      <c r="K31" s="137">
        <v>3849938.51</v>
      </c>
      <c r="L31" s="136">
        <v>0</v>
      </c>
      <c r="M31" s="138">
        <v>372316</v>
      </c>
      <c r="N31" s="138">
        <v>4222254.51</v>
      </c>
      <c r="P31" s="113">
        <v>4222254</v>
      </c>
      <c r="R31" s="139">
        <v>-0.50999999977648258</v>
      </c>
      <c r="S31" s="137">
        <v>6304.2599999997765</v>
      </c>
      <c r="T31" s="140">
        <v>1.6401822927071547E-3</v>
      </c>
    </row>
    <row r="32" spans="1:20" ht="16.5" hidden="1" customHeight="1">
      <c r="A32" s="143">
        <v>120780135</v>
      </c>
      <c r="B32" s="243">
        <v>120780135</v>
      </c>
      <c r="C32" s="119">
        <v>12</v>
      </c>
      <c r="D32" s="134" t="s">
        <v>568</v>
      </c>
      <c r="E32" s="134" t="s">
        <v>569</v>
      </c>
      <c r="F32" s="135" t="s">
        <v>544</v>
      </c>
      <c r="G32" s="136">
        <v>3017303.36</v>
      </c>
      <c r="H32" s="136"/>
      <c r="I32" s="137"/>
      <c r="J32" s="136"/>
      <c r="K32" s="137">
        <v>3019604.36</v>
      </c>
      <c r="L32" s="136">
        <v>0</v>
      </c>
      <c r="M32" s="138">
        <v>-403708</v>
      </c>
      <c r="N32" s="138">
        <v>2615896.36</v>
      </c>
      <c r="P32" s="113">
        <v>2615896</v>
      </c>
      <c r="R32" s="139">
        <v>-0.35999999986961484</v>
      </c>
      <c r="S32" s="137">
        <v>2300.6400000001304</v>
      </c>
      <c r="T32" s="140">
        <v>7.6248216553211621E-4</v>
      </c>
    </row>
    <row r="33" spans="1:22" ht="16.5" hidden="1" customHeight="1">
      <c r="A33" s="143">
        <v>120780143</v>
      </c>
      <c r="B33" s="243">
        <v>120780143</v>
      </c>
      <c r="C33" s="119">
        <v>12</v>
      </c>
      <c r="D33" s="134" t="s">
        <v>570</v>
      </c>
      <c r="E33" s="134" t="s">
        <v>561</v>
      </c>
      <c r="F33" s="135" t="s">
        <v>544</v>
      </c>
      <c r="G33" s="136">
        <v>2579591</v>
      </c>
      <c r="H33" s="136"/>
      <c r="I33" s="137"/>
      <c r="J33" s="136"/>
      <c r="K33" s="137">
        <v>2581606</v>
      </c>
      <c r="L33" s="136">
        <v>0</v>
      </c>
      <c r="M33" s="138">
        <v>-115655</v>
      </c>
      <c r="N33" s="138">
        <v>2465951</v>
      </c>
      <c r="P33" s="113">
        <v>2465951</v>
      </c>
      <c r="R33" s="139">
        <v>0</v>
      </c>
      <c r="S33" s="137">
        <v>2015</v>
      </c>
      <c r="T33" s="140">
        <v>7.8113158248730124E-4</v>
      </c>
    </row>
    <row r="34" spans="1:22" ht="16.5" hidden="1" customHeight="1">
      <c r="A34" s="143">
        <v>120780291</v>
      </c>
      <c r="B34" s="243">
        <v>120000153</v>
      </c>
      <c r="C34" s="119">
        <v>12</v>
      </c>
      <c r="D34" s="134" t="s">
        <v>571</v>
      </c>
      <c r="E34" s="134" t="s">
        <v>557</v>
      </c>
      <c r="F34" s="135" t="s">
        <v>533</v>
      </c>
      <c r="G34" s="136">
        <v>1427510</v>
      </c>
      <c r="H34" s="136"/>
      <c r="I34" s="137"/>
      <c r="J34" s="136"/>
      <c r="K34" s="137">
        <v>1430511.49</v>
      </c>
      <c r="L34" s="136">
        <v>0</v>
      </c>
      <c r="M34" s="138">
        <v>83861</v>
      </c>
      <c r="N34" s="138">
        <v>1514372.49</v>
      </c>
      <c r="P34" s="113">
        <v>1514372</v>
      </c>
      <c r="R34" s="139">
        <v>-0.48999999999068677</v>
      </c>
      <c r="S34" s="137">
        <v>3001</v>
      </c>
      <c r="T34" s="140">
        <v>2.1022619806516239E-3</v>
      </c>
    </row>
    <row r="35" spans="1:22" ht="16.5" hidden="1" customHeight="1">
      <c r="A35" s="143">
        <v>120780481</v>
      </c>
      <c r="B35" s="243">
        <v>120000237</v>
      </c>
      <c r="C35" s="119">
        <v>12</v>
      </c>
      <c r="D35" s="134" t="s">
        <v>572</v>
      </c>
      <c r="E35" s="134" t="s">
        <v>561</v>
      </c>
      <c r="F35" s="135" t="s">
        <v>533</v>
      </c>
      <c r="G35" s="136">
        <v>979895.78</v>
      </c>
      <c r="H35" s="136"/>
      <c r="I35" s="137"/>
      <c r="J35" s="136"/>
      <c r="K35" s="137">
        <v>981670.78</v>
      </c>
      <c r="L35" s="136">
        <v>0</v>
      </c>
      <c r="M35" s="138">
        <v>-256915</v>
      </c>
      <c r="N35" s="138">
        <v>724755.78</v>
      </c>
      <c r="P35" s="113">
        <v>724755</v>
      </c>
      <c r="R35" s="139">
        <v>-0.78000000002793968</v>
      </c>
      <c r="S35" s="137">
        <v>1774.2199999999721</v>
      </c>
      <c r="T35" s="140">
        <v>1.8106211254425159E-3</v>
      </c>
    </row>
    <row r="36" spans="1:22" ht="16.5" hidden="1" customHeight="1">
      <c r="A36" s="143">
        <v>300002169</v>
      </c>
      <c r="B36" s="243">
        <v>300002169</v>
      </c>
      <c r="C36" s="119">
        <v>30</v>
      </c>
      <c r="D36" s="134" t="s">
        <v>573</v>
      </c>
      <c r="E36" s="134" t="s">
        <v>574</v>
      </c>
      <c r="F36" s="135" t="s">
        <v>544</v>
      </c>
      <c r="G36" s="136">
        <v>1385638</v>
      </c>
      <c r="H36" s="136"/>
      <c r="I36" s="137"/>
      <c r="J36" s="136"/>
      <c r="K36" s="137">
        <v>1386794.34</v>
      </c>
      <c r="L36" s="136">
        <v>0</v>
      </c>
      <c r="M36" s="138">
        <v>-552127</v>
      </c>
      <c r="N36" s="138">
        <v>834667.34000000008</v>
      </c>
      <c r="P36" s="113">
        <v>834667</v>
      </c>
      <c r="R36" s="139">
        <v>-0.34000000008381903</v>
      </c>
      <c r="S36" s="137">
        <v>1156</v>
      </c>
      <c r="T36" s="140">
        <v>8.3427273212772742E-4</v>
      </c>
    </row>
    <row r="37" spans="1:22" ht="30" hidden="1">
      <c r="A37" s="143">
        <v>300012358</v>
      </c>
      <c r="B37" s="243">
        <v>300012358</v>
      </c>
      <c r="C37" s="119">
        <v>30</v>
      </c>
      <c r="D37" s="134" t="s">
        <v>575</v>
      </c>
      <c r="E37" s="134" t="s">
        <v>576</v>
      </c>
      <c r="F37" s="135" t="s">
        <v>544</v>
      </c>
      <c r="G37" s="136">
        <v>2797983.58</v>
      </c>
      <c r="H37" s="136"/>
      <c r="I37" s="137"/>
      <c r="J37" s="136"/>
      <c r="K37" s="137">
        <v>2889919.58</v>
      </c>
      <c r="L37" s="136">
        <v>0</v>
      </c>
      <c r="M37" s="138">
        <v>-432972</v>
      </c>
      <c r="N37" s="138">
        <v>2456947.58</v>
      </c>
      <c r="P37" s="113">
        <v>2480949</v>
      </c>
      <c r="R37" s="139">
        <v>24001.419999999925</v>
      </c>
      <c r="S37" s="137">
        <v>115937.41999999993</v>
      </c>
      <c r="T37" s="145">
        <v>4.1436061608338647E-2</v>
      </c>
      <c r="U37" s="146" t="s">
        <v>577</v>
      </c>
      <c r="V37" s="147">
        <v>45444</v>
      </c>
    </row>
    <row r="38" spans="1:22" ht="16.5" hidden="1" customHeight="1">
      <c r="A38" s="143">
        <v>300017423</v>
      </c>
      <c r="B38" s="243">
        <v>300017423</v>
      </c>
      <c r="C38" s="119">
        <v>30</v>
      </c>
      <c r="D38" s="134" t="s">
        <v>578</v>
      </c>
      <c r="E38" s="134" t="s">
        <v>576</v>
      </c>
      <c r="F38" s="135" t="s">
        <v>544</v>
      </c>
      <c r="G38" s="136">
        <v>1528472.68</v>
      </c>
      <c r="H38" s="136"/>
      <c r="I38" s="137"/>
      <c r="J38" s="136"/>
      <c r="K38" s="137">
        <v>1529686.68</v>
      </c>
      <c r="L38" s="136">
        <v>0</v>
      </c>
      <c r="M38" s="138">
        <v>22876</v>
      </c>
      <c r="N38" s="138">
        <v>1552562.68</v>
      </c>
      <c r="P38" s="113">
        <v>1552562</v>
      </c>
      <c r="R38" s="139">
        <v>-0.67999999993480742</v>
      </c>
      <c r="S38" s="137">
        <v>1213.3200000000652</v>
      </c>
      <c r="T38" s="140">
        <v>7.9381202940445443E-4</v>
      </c>
    </row>
    <row r="39" spans="1:22" ht="16.5" hidden="1" customHeight="1">
      <c r="A39" s="143">
        <v>300780038</v>
      </c>
      <c r="B39" s="243">
        <v>300782117</v>
      </c>
      <c r="C39" s="119">
        <v>30</v>
      </c>
      <c r="D39" s="134" t="s">
        <v>579</v>
      </c>
      <c r="E39" s="134" t="s">
        <v>576</v>
      </c>
      <c r="F39" s="135" t="s">
        <v>533</v>
      </c>
      <c r="G39" s="136">
        <v>16526035.51</v>
      </c>
      <c r="H39" s="136"/>
      <c r="I39" s="137"/>
      <c r="J39" s="136"/>
      <c r="K39" s="137">
        <v>16298292.689999999</v>
      </c>
      <c r="L39" s="136">
        <v>256823.21</v>
      </c>
      <c r="M39" s="138">
        <v>3304232</v>
      </c>
      <c r="N39" s="138">
        <v>19859347.899999999</v>
      </c>
      <c r="P39" s="113">
        <v>19859347</v>
      </c>
      <c r="R39" s="139">
        <v>-0.89999999850988388</v>
      </c>
      <c r="S39" s="137">
        <v>29079.490000000224</v>
      </c>
      <c r="T39" s="140">
        <v>1.7596168168950172E-3</v>
      </c>
    </row>
    <row r="40" spans="1:22" ht="16.5" hidden="1" customHeight="1">
      <c r="A40" s="143">
        <v>300780046</v>
      </c>
      <c r="B40" s="243">
        <v>300000023</v>
      </c>
      <c r="C40" s="119">
        <v>30</v>
      </c>
      <c r="D40" s="134" t="s">
        <v>580</v>
      </c>
      <c r="E40" s="134" t="s">
        <v>574</v>
      </c>
      <c r="F40" s="135" t="s">
        <v>533</v>
      </c>
      <c r="G40" s="136">
        <v>2712623.31</v>
      </c>
      <c r="H40" s="136"/>
      <c r="I40" s="137"/>
      <c r="J40" s="136"/>
      <c r="K40" s="137">
        <v>2717220.26</v>
      </c>
      <c r="L40" s="136">
        <v>0</v>
      </c>
      <c r="M40" s="138">
        <v>1412968</v>
      </c>
      <c r="N40" s="138">
        <v>4130188.26</v>
      </c>
      <c r="P40" s="113">
        <v>4130188</v>
      </c>
      <c r="R40" s="139">
        <v>-0.25999999977648258</v>
      </c>
      <c r="S40" s="137">
        <v>4596.6899999999441</v>
      </c>
      <c r="T40" s="140">
        <v>1.6945552237402045E-3</v>
      </c>
    </row>
    <row r="41" spans="1:22" ht="17.25" hidden="1" customHeight="1">
      <c r="A41" s="143">
        <v>300780053</v>
      </c>
      <c r="B41" s="243">
        <v>300000031</v>
      </c>
      <c r="C41" s="119">
        <v>30</v>
      </c>
      <c r="D41" s="134" t="s">
        <v>581</v>
      </c>
      <c r="E41" s="134" t="s">
        <v>582</v>
      </c>
      <c r="F41" s="135" t="s">
        <v>533</v>
      </c>
      <c r="G41" s="136">
        <v>1464161</v>
      </c>
      <c r="H41" s="136"/>
      <c r="I41" s="137"/>
      <c r="J41" s="136"/>
      <c r="K41" s="137">
        <v>1465394</v>
      </c>
      <c r="L41" s="136">
        <v>0</v>
      </c>
      <c r="M41" s="138">
        <v>47054</v>
      </c>
      <c r="N41" s="138">
        <v>1512448</v>
      </c>
      <c r="P41" s="113">
        <v>1512448</v>
      </c>
      <c r="R41" s="139">
        <v>0</v>
      </c>
      <c r="S41" s="137">
        <v>1233</v>
      </c>
      <c r="T41" s="140">
        <v>8.4212050450735952E-4</v>
      </c>
    </row>
    <row r="42" spans="1:22" ht="17.25" hidden="1" customHeight="1">
      <c r="A42" s="143">
        <v>300780079</v>
      </c>
      <c r="B42" s="243">
        <v>300000056</v>
      </c>
      <c r="C42" s="119">
        <v>30</v>
      </c>
      <c r="D42" s="134" t="s">
        <v>583</v>
      </c>
      <c r="E42" s="134" t="s">
        <v>582</v>
      </c>
      <c r="F42" s="135" t="s">
        <v>533</v>
      </c>
      <c r="G42" s="136">
        <v>2305635.7000000002</v>
      </c>
      <c r="H42" s="136"/>
      <c r="I42" s="137"/>
      <c r="J42" s="136"/>
      <c r="K42" s="137">
        <v>2781539.34</v>
      </c>
      <c r="L42" s="136">
        <v>0</v>
      </c>
      <c r="M42" s="138">
        <v>511164</v>
      </c>
      <c r="N42" s="138">
        <v>3292703.34</v>
      </c>
      <c r="P42" s="113">
        <v>3440947</v>
      </c>
      <c r="R42" s="139">
        <v>148243.66000000015</v>
      </c>
      <c r="S42" s="137">
        <v>624147.29999999981</v>
      </c>
      <c r="T42" s="148">
        <v>0.27070508146625233</v>
      </c>
      <c r="U42" s="149" t="s">
        <v>584</v>
      </c>
      <c r="V42" s="147">
        <v>45383</v>
      </c>
    </row>
    <row r="43" spans="1:22" ht="17.25" hidden="1" customHeight="1">
      <c r="A43" s="143">
        <v>300780087</v>
      </c>
      <c r="B43" s="243">
        <v>300000064</v>
      </c>
      <c r="C43" s="119">
        <v>30</v>
      </c>
      <c r="D43" s="134" t="s">
        <v>585</v>
      </c>
      <c r="E43" s="134" t="s">
        <v>576</v>
      </c>
      <c r="F43" s="135" t="s">
        <v>533</v>
      </c>
      <c r="G43" s="136">
        <v>1370915.95</v>
      </c>
      <c r="H43" s="136"/>
      <c r="I43" s="137"/>
      <c r="J43" s="136"/>
      <c r="K43" s="137">
        <v>1611791.74</v>
      </c>
      <c r="L43" s="136">
        <v>0</v>
      </c>
      <c r="M43" s="138">
        <v>266071</v>
      </c>
      <c r="N43" s="138">
        <v>1877862.74</v>
      </c>
      <c r="P43" s="113">
        <v>1877862</v>
      </c>
      <c r="R43" s="139">
        <v>-0.73999999999068677</v>
      </c>
      <c r="S43" s="137">
        <v>240875.05000000005</v>
      </c>
      <c r="T43" s="148">
        <v>0.17570373296772865</v>
      </c>
      <c r="U43" s="150" t="s">
        <v>586</v>
      </c>
      <c r="V43" s="151">
        <v>45292</v>
      </c>
    </row>
    <row r="44" spans="1:22" ht="17.25" hidden="1" customHeight="1">
      <c r="A44" s="143">
        <v>300780095</v>
      </c>
      <c r="B44" s="243">
        <v>300000072</v>
      </c>
      <c r="C44" s="119">
        <v>30</v>
      </c>
      <c r="D44" s="134" t="s">
        <v>587</v>
      </c>
      <c r="E44" s="134" t="s">
        <v>588</v>
      </c>
      <c r="F44" s="135" t="s">
        <v>533</v>
      </c>
      <c r="G44" s="136">
        <v>927187.33</v>
      </c>
      <c r="H44" s="136"/>
      <c r="I44" s="137"/>
      <c r="J44" s="136"/>
      <c r="K44" s="137">
        <v>928588.43</v>
      </c>
      <c r="L44" s="136">
        <v>0</v>
      </c>
      <c r="M44" s="138">
        <v>138109</v>
      </c>
      <c r="N44" s="138">
        <v>1066697.4300000002</v>
      </c>
      <c r="P44" s="113">
        <v>1066697</v>
      </c>
      <c r="R44" s="139">
        <v>-0.43000000016763806</v>
      </c>
      <c r="S44" s="137">
        <v>1400.6700000000419</v>
      </c>
      <c r="T44" s="140">
        <v>1.5106655954844012E-3</v>
      </c>
    </row>
    <row r="45" spans="1:22" ht="17.25" hidden="1" customHeight="1">
      <c r="A45" s="143">
        <v>300780111</v>
      </c>
      <c r="B45" s="243">
        <v>300780111</v>
      </c>
      <c r="C45" s="119">
        <v>30</v>
      </c>
      <c r="D45" s="134" t="s">
        <v>589</v>
      </c>
      <c r="E45" s="134" t="s">
        <v>574</v>
      </c>
      <c r="F45" s="135" t="s">
        <v>544</v>
      </c>
      <c r="G45" s="136">
        <v>1923908.42</v>
      </c>
      <c r="H45" s="136"/>
      <c r="I45" s="137"/>
      <c r="J45" s="136"/>
      <c r="K45" s="137">
        <v>1925510.42</v>
      </c>
      <c r="L45" s="136">
        <v>0</v>
      </c>
      <c r="M45" s="138">
        <v>-247865</v>
      </c>
      <c r="N45" s="138">
        <v>1677645.42</v>
      </c>
      <c r="P45" s="113">
        <v>1677645</v>
      </c>
      <c r="R45" s="139">
        <v>-0.41999999992549419</v>
      </c>
      <c r="S45" s="137">
        <v>1601.5800000000745</v>
      </c>
      <c r="T45" s="140">
        <v>8.3246166155875271E-4</v>
      </c>
    </row>
    <row r="46" spans="1:22" ht="17.25" hidden="1" customHeight="1">
      <c r="A46" s="143">
        <v>300780285</v>
      </c>
      <c r="B46" s="243">
        <v>300780285</v>
      </c>
      <c r="C46" s="119">
        <v>30</v>
      </c>
      <c r="D46" s="134" t="s">
        <v>590</v>
      </c>
      <c r="E46" s="134" t="s">
        <v>576</v>
      </c>
      <c r="F46" s="135" t="s">
        <v>539</v>
      </c>
      <c r="G46" s="136">
        <v>3654907</v>
      </c>
      <c r="H46" s="136"/>
      <c r="I46" s="137">
        <v>3109</v>
      </c>
      <c r="J46" s="136">
        <v>3658016</v>
      </c>
      <c r="K46" s="137">
        <v>3706155</v>
      </c>
      <c r="L46" s="136"/>
      <c r="M46" s="138">
        <v>362956</v>
      </c>
      <c r="N46" s="138">
        <v>4069111</v>
      </c>
      <c r="P46" s="113">
        <v>4069111</v>
      </c>
      <c r="R46" s="139">
        <v>0</v>
      </c>
      <c r="S46" s="137">
        <v>51248</v>
      </c>
      <c r="T46" s="140">
        <v>1.4021697405706903E-2</v>
      </c>
    </row>
    <row r="47" spans="1:22" ht="17.25" hidden="1" customHeight="1">
      <c r="A47" s="143">
        <v>300780442</v>
      </c>
      <c r="B47" s="243">
        <v>300780442</v>
      </c>
      <c r="C47" s="119">
        <v>30</v>
      </c>
      <c r="D47" s="134" t="s">
        <v>591</v>
      </c>
      <c r="E47" s="134" t="s">
        <v>588</v>
      </c>
      <c r="F47" s="135" t="s">
        <v>539</v>
      </c>
      <c r="G47" s="136">
        <v>1313734</v>
      </c>
      <c r="H47" s="136">
        <v>0</v>
      </c>
      <c r="I47" s="137">
        <v>1096</v>
      </c>
      <c r="J47" s="136">
        <v>1314830</v>
      </c>
      <c r="K47" s="137">
        <v>1330732</v>
      </c>
      <c r="L47" s="136"/>
      <c r="M47" s="138">
        <v>-72420</v>
      </c>
      <c r="N47" s="138">
        <v>1258312</v>
      </c>
      <c r="P47" s="113">
        <v>1258312</v>
      </c>
      <c r="R47" s="139">
        <v>0</v>
      </c>
      <c r="S47" s="137">
        <v>16998</v>
      </c>
      <c r="T47" s="140">
        <v>1.2938692307575201E-2</v>
      </c>
    </row>
    <row r="48" spans="1:22" ht="17.25" hidden="1" customHeight="1">
      <c r="A48" s="143">
        <v>300780491</v>
      </c>
      <c r="B48" s="243">
        <v>300780491</v>
      </c>
      <c r="C48" s="119">
        <v>30</v>
      </c>
      <c r="D48" s="134" t="s">
        <v>592</v>
      </c>
      <c r="E48" s="134" t="s">
        <v>593</v>
      </c>
      <c r="F48" s="135" t="s">
        <v>539</v>
      </c>
      <c r="G48" s="136">
        <v>1999294</v>
      </c>
      <c r="H48" s="136">
        <v>0</v>
      </c>
      <c r="I48" s="137">
        <v>1694</v>
      </c>
      <c r="J48" s="136">
        <v>2000988</v>
      </c>
      <c r="K48" s="137">
        <v>2021002</v>
      </c>
      <c r="L48" s="136"/>
      <c r="M48" s="138">
        <v>-23114</v>
      </c>
      <c r="N48" s="138">
        <v>1997888</v>
      </c>
      <c r="P48" s="113">
        <v>1997888</v>
      </c>
      <c r="R48" s="139">
        <v>0</v>
      </c>
      <c r="S48" s="137">
        <v>21708</v>
      </c>
      <c r="T48" s="140">
        <v>1.0857832814983689E-2</v>
      </c>
    </row>
    <row r="49" spans="1:22" ht="17.25" hidden="1" customHeight="1">
      <c r="A49" s="143">
        <v>300781010</v>
      </c>
      <c r="B49" s="243">
        <v>300000478</v>
      </c>
      <c r="C49" s="119">
        <v>30</v>
      </c>
      <c r="D49" s="134" t="s">
        <v>594</v>
      </c>
      <c r="E49" s="134" t="s">
        <v>574</v>
      </c>
      <c r="F49" s="135" t="s">
        <v>533</v>
      </c>
      <c r="G49" s="136">
        <v>1345205</v>
      </c>
      <c r="H49" s="136"/>
      <c r="I49" s="137"/>
      <c r="J49" s="136"/>
      <c r="K49" s="137">
        <v>1346916.85</v>
      </c>
      <c r="L49" s="136">
        <v>0</v>
      </c>
      <c r="M49" s="138">
        <v>847529</v>
      </c>
      <c r="N49" s="138">
        <v>2194445.85</v>
      </c>
      <c r="P49" s="113">
        <v>2194445</v>
      </c>
      <c r="R49" s="139">
        <v>-0.85000000009313226</v>
      </c>
      <c r="S49" s="137">
        <v>1711</v>
      </c>
      <c r="T49" s="140">
        <v>1.2719250969183136E-3</v>
      </c>
    </row>
    <row r="50" spans="1:22" ht="17.25" hidden="1" customHeight="1">
      <c r="A50" s="143">
        <v>300781440</v>
      </c>
      <c r="B50" s="243">
        <v>300781440</v>
      </c>
      <c r="C50" s="119">
        <v>30</v>
      </c>
      <c r="D50" s="134" t="s">
        <v>595</v>
      </c>
      <c r="E50" s="134" t="s">
        <v>576</v>
      </c>
      <c r="F50" s="135" t="s">
        <v>539</v>
      </c>
      <c r="G50" s="136">
        <v>1191618</v>
      </c>
      <c r="H50" s="136"/>
      <c r="I50" s="137"/>
      <c r="J50" s="136"/>
      <c r="K50" s="137">
        <v>1192590.17</v>
      </c>
      <c r="L50" s="136">
        <v>0</v>
      </c>
      <c r="M50" s="138">
        <v>72091</v>
      </c>
      <c r="N50" s="138">
        <v>1264681.17</v>
      </c>
      <c r="P50" s="113">
        <v>1264681</v>
      </c>
      <c r="R50" s="139">
        <v>-0.16999999992549419</v>
      </c>
      <c r="S50" s="137">
        <v>972</v>
      </c>
      <c r="T50" s="140">
        <v>8.1569764807178135E-4</v>
      </c>
    </row>
    <row r="51" spans="1:22" ht="17.25" hidden="1" customHeight="1">
      <c r="A51" s="143">
        <v>300786274</v>
      </c>
      <c r="B51" s="243">
        <v>300786274</v>
      </c>
      <c r="C51" s="119">
        <v>30</v>
      </c>
      <c r="D51" s="134" t="s">
        <v>596</v>
      </c>
      <c r="E51" s="134" t="s">
        <v>576</v>
      </c>
      <c r="F51" s="135" t="s">
        <v>544</v>
      </c>
      <c r="G51" s="136">
        <v>1666372.71</v>
      </c>
      <c r="H51" s="136"/>
      <c r="I51" s="137"/>
      <c r="J51" s="136"/>
      <c r="K51" s="137">
        <v>1667786.71</v>
      </c>
      <c r="L51" s="136">
        <v>0</v>
      </c>
      <c r="M51" s="138">
        <v>0</v>
      </c>
      <c r="N51" s="138">
        <v>1667786.71</v>
      </c>
      <c r="P51" s="113">
        <v>1667786</v>
      </c>
      <c r="R51" s="139">
        <v>-0.7099999999627471</v>
      </c>
      <c r="S51" s="137">
        <v>1413.2900000000373</v>
      </c>
      <c r="T51" s="140">
        <v>8.4812358694954701E-4</v>
      </c>
    </row>
    <row r="52" spans="1:22" ht="17.25" hidden="1" customHeight="1">
      <c r="A52" s="143">
        <v>310014329</v>
      </c>
      <c r="B52" s="243">
        <v>310014329</v>
      </c>
      <c r="C52" s="119">
        <v>31</v>
      </c>
      <c r="D52" s="134" t="s">
        <v>597</v>
      </c>
      <c r="E52" s="134" t="s">
        <v>598</v>
      </c>
      <c r="F52" s="135" t="s">
        <v>544</v>
      </c>
      <c r="G52" s="136">
        <v>1242483</v>
      </c>
      <c r="H52" s="136"/>
      <c r="I52" s="137"/>
      <c r="J52" s="136"/>
      <c r="K52" s="137">
        <v>1243549.19</v>
      </c>
      <c r="L52" s="136">
        <v>0</v>
      </c>
      <c r="M52" s="138">
        <v>0</v>
      </c>
      <c r="N52" s="138">
        <v>1243549.19</v>
      </c>
      <c r="P52" s="113">
        <v>1243549</v>
      </c>
      <c r="R52" s="139">
        <v>-0.18999999994412065</v>
      </c>
      <c r="S52" s="137">
        <v>1066</v>
      </c>
      <c r="T52" s="140">
        <v>8.5795942479695905E-4</v>
      </c>
    </row>
    <row r="53" spans="1:22" ht="17.25" hidden="1" customHeight="1">
      <c r="A53" s="143">
        <v>310020938</v>
      </c>
      <c r="B53" s="243">
        <v>310020938</v>
      </c>
      <c r="C53" s="119">
        <v>31</v>
      </c>
      <c r="D53" s="134" t="s">
        <v>599</v>
      </c>
      <c r="E53" s="134" t="s">
        <v>600</v>
      </c>
      <c r="F53" s="135" t="s">
        <v>539</v>
      </c>
      <c r="G53" s="136">
        <v>4123006</v>
      </c>
      <c r="H53" s="136">
        <v>0</v>
      </c>
      <c r="I53" s="137">
        <v>3591</v>
      </c>
      <c r="J53" s="136">
        <v>4126597</v>
      </c>
      <c r="K53" s="137">
        <v>4160004</v>
      </c>
      <c r="L53" s="136"/>
      <c r="M53" s="138">
        <v>225195</v>
      </c>
      <c r="N53" s="138">
        <v>4385199</v>
      </c>
      <c r="P53" s="113">
        <v>4385199</v>
      </c>
      <c r="R53" s="139">
        <v>0</v>
      </c>
      <c r="S53" s="137">
        <v>36998</v>
      </c>
      <c r="T53" s="140">
        <v>8.9735498808393675E-3</v>
      </c>
    </row>
    <row r="54" spans="1:22" ht="17.25" hidden="1" customHeight="1">
      <c r="A54" s="143">
        <v>310021571</v>
      </c>
      <c r="B54" s="243">
        <v>310021571</v>
      </c>
      <c r="C54" s="119">
        <v>31</v>
      </c>
      <c r="D54" s="134" t="s">
        <v>601</v>
      </c>
      <c r="E54" s="134" t="s">
        <v>600</v>
      </c>
      <c r="F54" s="135" t="s">
        <v>539</v>
      </c>
      <c r="G54" s="136">
        <v>3054058</v>
      </c>
      <c r="H54" s="136">
        <v>0</v>
      </c>
      <c r="I54" s="137">
        <v>2617</v>
      </c>
      <c r="J54" s="136">
        <v>3056675</v>
      </c>
      <c r="K54" s="137">
        <v>3083998.81</v>
      </c>
      <c r="L54" s="136"/>
      <c r="M54" s="138">
        <v>472099</v>
      </c>
      <c r="N54" s="138">
        <v>3556097.81</v>
      </c>
      <c r="P54" s="113">
        <v>3556097</v>
      </c>
      <c r="R54" s="139">
        <v>-0.81000000005587935</v>
      </c>
      <c r="S54" s="137">
        <v>29940</v>
      </c>
      <c r="T54" s="140">
        <v>9.8033501655829716E-3</v>
      </c>
    </row>
    <row r="55" spans="1:22" ht="17.25" hidden="1" customHeight="1">
      <c r="A55" s="143">
        <v>310023007</v>
      </c>
      <c r="B55" s="243">
        <v>310023007</v>
      </c>
      <c r="C55" s="119">
        <v>31</v>
      </c>
      <c r="D55" s="134" t="s">
        <v>602</v>
      </c>
      <c r="E55" s="134" t="s">
        <v>600</v>
      </c>
      <c r="F55" s="135" t="s">
        <v>539</v>
      </c>
      <c r="G55" s="136">
        <v>662788</v>
      </c>
      <c r="H55" s="136">
        <v>0</v>
      </c>
      <c r="I55" s="137">
        <v>540</v>
      </c>
      <c r="J55" s="136">
        <v>663328</v>
      </c>
      <c r="K55" s="137">
        <v>669998</v>
      </c>
      <c r="L55" s="136"/>
      <c r="M55" s="138">
        <v>-60670</v>
      </c>
      <c r="N55" s="138">
        <v>609328</v>
      </c>
      <c r="P55" s="113">
        <v>609328</v>
      </c>
      <c r="R55" s="139">
        <v>0</v>
      </c>
      <c r="S55" s="137">
        <v>7210</v>
      </c>
      <c r="T55" s="140">
        <v>1.0878289890583414E-2</v>
      </c>
    </row>
    <row r="56" spans="1:22" ht="17.25" hidden="1" customHeight="1">
      <c r="A56" s="143">
        <v>310026927</v>
      </c>
      <c r="B56" s="243">
        <v>310026927</v>
      </c>
      <c r="C56" s="119">
        <v>31</v>
      </c>
      <c r="D56" s="134" t="s">
        <v>603</v>
      </c>
      <c r="E56" s="134" t="s">
        <v>600</v>
      </c>
      <c r="F56" s="135" t="s">
        <v>539</v>
      </c>
      <c r="G56" s="136">
        <v>636311</v>
      </c>
      <c r="H56" s="136">
        <v>0</v>
      </c>
      <c r="I56" s="137">
        <v>599</v>
      </c>
      <c r="J56" s="136">
        <v>636910</v>
      </c>
      <c r="K56" s="137">
        <v>636910</v>
      </c>
      <c r="L56" s="136"/>
      <c r="M56" s="138">
        <v>102668</v>
      </c>
      <c r="N56" s="138">
        <v>739578</v>
      </c>
      <c r="P56" s="113">
        <v>739578</v>
      </c>
      <c r="R56" s="139">
        <v>0</v>
      </c>
      <c r="S56" s="137">
        <v>599</v>
      </c>
      <c r="T56" s="140">
        <v>9.4136357850170755E-4</v>
      </c>
    </row>
    <row r="57" spans="1:22" ht="17.25" hidden="1" customHeight="1">
      <c r="A57" s="143">
        <v>310180013</v>
      </c>
      <c r="B57" s="243">
        <v>310784558</v>
      </c>
      <c r="C57" s="119">
        <v>31</v>
      </c>
      <c r="D57" s="134" t="s">
        <v>604</v>
      </c>
      <c r="E57" s="134" t="s">
        <v>598</v>
      </c>
      <c r="F57" s="135" t="s">
        <v>533</v>
      </c>
      <c r="G57" s="136">
        <v>3485148.95</v>
      </c>
      <c r="H57" s="136"/>
      <c r="I57" s="137"/>
      <c r="J57" s="136"/>
      <c r="K57" s="137">
        <v>3490755.35</v>
      </c>
      <c r="L57" s="136">
        <v>0</v>
      </c>
      <c r="M57" s="138">
        <v>1040604</v>
      </c>
      <c r="N57" s="138">
        <v>4531359.3499999996</v>
      </c>
      <c r="P57" s="113">
        <v>4531359</v>
      </c>
      <c r="R57" s="139">
        <v>-0.34999999962747097</v>
      </c>
      <c r="S57" s="137">
        <v>5606.0499999998137</v>
      </c>
      <c r="T57" s="140">
        <v>1.6085539184773762E-3</v>
      </c>
    </row>
    <row r="58" spans="1:22" ht="17.25" hidden="1" customHeight="1">
      <c r="A58" s="143">
        <v>310780150</v>
      </c>
      <c r="B58" s="243">
        <v>310780150</v>
      </c>
      <c r="C58" s="119">
        <v>31</v>
      </c>
      <c r="D58" s="134" t="s">
        <v>605</v>
      </c>
      <c r="E58" s="134" t="s">
        <v>600</v>
      </c>
      <c r="F58" s="135" t="s">
        <v>539</v>
      </c>
      <c r="G58" s="136">
        <v>675880</v>
      </c>
      <c r="H58" s="136"/>
      <c r="I58" s="137"/>
      <c r="J58" s="136"/>
      <c r="K58" s="137">
        <v>676421.02</v>
      </c>
      <c r="L58" s="136">
        <v>0</v>
      </c>
      <c r="M58" s="138">
        <v>-355759</v>
      </c>
      <c r="N58" s="138">
        <v>320662.02</v>
      </c>
      <c r="P58" s="113">
        <v>320662</v>
      </c>
      <c r="R58" s="139">
        <v>-2.0000000018626451E-2</v>
      </c>
      <c r="S58" s="137">
        <v>541</v>
      </c>
      <c r="T58" s="140">
        <v>8.0043794756465649E-4</v>
      </c>
    </row>
    <row r="59" spans="1:22" ht="17.25" hidden="1" customHeight="1">
      <c r="A59" s="143">
        <v>310780234</v>
      </c>
      <c r="B59" s="243">
        <v>310780234</v>
      </c>
      <c r="C59" s="119">
        <v>31</v>
      </c>
      <c r="D59" s="134" t="s">
        <v>606</v>
      </c>
      <c r="E59" s="134" t="s">
        <v>600</v>
      </c>
      <c r="F59" s="135" t="s">
        <v>539</v>
      </c>
      <c r="G59" s="136">
        <v>3326862</v>
      </c>
      <c r="H59" s="136"/>
      <c r="I59" s="137"/>
      <c r="J59" s="136"/>
      <c r="K59" s="137">
        <v>3329566.15</v>
      </c>
      <c r="L59" s="136">
        <v>0</v>
      </c>
      <c r="M59" s="138">
        <v>-971105</v>
      </c>
      <c r="N59" s="138">
        <v>2358461.15</v>
      </c>
      <c r="P59" s="113">
        <v>2358461</v>
      </c>
      <c r="R59" s="139">
        <v>-0.14999999990686774</v>
      </c>
      <c r="S59" s="137">
        <v>2704</v>
      </c>
      <c r="T59" s="140">
        <v>8.1277792706760908E-4</v>
      </c>
    </row>
    <row r="60" spans="1:22" ht="17.25" hidden="1" customHeight="1">
      <c r="A60" s="143">
        <v>310780366</v>
      </c>
      <c r="B60" s="243">
        <v>310780366</v>
      </c>
      <c r="C60" s="119">
        <v>31</v>
      </c>
      <c r="D60" s="134" t="s">
        <v>607</v>
      </c>
      <c r="E60" s="134" t="s">
        <v>600</v>
      </c>
      <c r="F60" s="135" t="s">
        <v>539</v>
      </c>
      <c r="G60" s="136">
        <v>3161410</v>
      </c>
      <c r="H60" s="136">
        <v>63011</v>
      </c>
      <c r="I60" s="137">
        <v>2668</v>
      </c>
      <c r="J60" s="136">
        <v>3227089</v>
      </c>
      <c r="K60" s="137">
        <v>3255836</v>
      </c>
      <c r="L60" s="136"/>
      <c r="M60" s="138">
        <v>109581</v>
      </c>
      <c r="N60" s="138">
        <v>3365417</v>
      </c>
      <c r="P60" s="113">
        <v>3407147</v>
      </c>
      <c r="R60" s="139">
        <v>41730</v>
      </c>
      <c r="S60" s="137">
        <v>136156</v>
      </c>
      <c r="T60" s="145">
        <v>4.306812466589275E-2</v>
      </c>
      <c r="U60" s="149" t="s">
        <v>608</v>
      </c>
      <c r="V60" s="130"/>
    </row>
    <row r="61" spans="1:22" ht="17.25" hidden="1" customHeight="1">
      <c r="A61" s="143">
        <v>310780374</v>
      </c>
      <c r="B61" s="243">
        <v>310780374</v>
      </c>
      <c r="C61" s="119">
        <v>31</v>
      </c>
      <c r="D61" s="134" t="s">
        <v>609</v>
      </c>
      <c r="E61" s="134" t="s">
        <v>610</v>
      </c>
      <c r="F61" s="135" t="s">
        <v>539</v>
      </c>
      <c r="G61" s="136">
        <v>1672250</v>
      </c>
      <c r="H61" s="136">
        <v>0</v>
      </c>
      <c r="I61" s="137">
        <v>1226</v>
      </c>
      <c r="J61" s="136">
        <v>1673476</v>
      </c>
      <c r="K61" s="137">
        <v>1706232.94</v>
      </c>
      <c r="L61" s="136"/>
      <c r="M61" s="138">
        <v>-1668807</v>
      </c>
      <c r="N61" s="138">
        <v>37425.939999999944</v>
      </c>
      <c r="P61" s="113">
        <v>37425</v>
      </c>
      <c r="R61" s="139">
        <v>-0.93999999994412065</v>
      </c>
      <c r="S61" s="137">
        <v>33982</v>
      </c>
      <c r="T61" s="145">
        <v>2.0321124233816715E-2</v>
      </c>
      <c r="U61" s="152" t="s">
        <v>611</v>
      </c>
      <c r="V61" s="130"/>
    </row>
    <row r="62" spans="1:22" ht="17.25" hidden="1" customHeight="1">
      <c r="A62" s="143">
        <v>310780671</v>
      </c>
      <c r="B62" s="243">
        <v>310000310</v>
      </c>
      <c r="C62" s="119">
        <v>31</v>
      </c>
      <c r="D62" s="134" t="s">
        <v>612</v>
      </c>
      <c r="E62" s="134" t="s">
        <v>598</v>
      </c>
      <c r="F62" s="135" t="s">
        <v>533</v>
      </c>
      <c r="G62" s="136">
        <v>889270.85</v>
      </c>
      <c r="H62" s="136"/>
      <c r="I62" s="137"/>
      <c r="J62" s="136"/>
      <c r="K62" s="137">
        <v>890940.44</v>
      </c>
      <c r="L62" s="136">
        <v>0</v>
      </c>
      <c r="M62" s="138">
        <v>-230759</v>
      </c>
      <c r="N62" s="138">
        <v>660181.43999999994</v>
      </c>
      <c r="P62" s="113">
        <v>660181</v>
      </c>
      <c r="R62" s="139">
        <v>-0.43999999994412065</v>
      </c>
      <c r="S62" s="137">
        <v>1669.1500000000233</v>
      </c>
      <c r="T62" s="140">
        <v>1.876987196870361E-3</v>
      </c>
    </row>
    <row r="63" spans="1:22" ht="17.25" hidden="1" customHeight="1">
      <c r="A63" s="143">
        <v>310780713</v>
      </c>
      <c r="B63" s="243">
        <v>310000336</v>
      </c>
      <c r="C63" s="119">
        <v>31</v>
      </c>
      <c r="D63" s="134" t="s">
        <v>613</v>
      </c>
      <c r="E63" s="134" t="s">
        <v>614</v>
      </c>
      <c r="F63" s="135" t="s">
        <v>533</v>
      </c>
      <c r="G63" s="136">
        <v>1866350</v>
      </c>
      <c r="H63" s="136"/>
      <c r="I63" s="137"/>
      <c r="J63" s="136"/>
      <c r="K63" s="137">
        <v>1869425.08</v>
      </c>
      <c r="L63" s="136">
        <v>0</v>
      </c>
      <c r="M63" s="138">
        <v>-345681</v>
      </c>
      <c r="N63" s="138">
        <v>1523744.08</v>
      </c>
      <c r="P63" s="113">
        <v>1523744</v>
      </c>
      <c r="R63" s="139">
        <v>-8.0000000074505806E-2</v>
      </c>
      <c r="S63" s="137">
        <v>3075</v>
      </c>
      <c r="T63" s="140">
        <v>1.6476009323010154E-3</v>
      </c>
    </row>
    <row r="64" spans="1:22" ht="17.25" hidden="1" customHeight="1">
      <c r="A64" s="143">
        <v>310781067</v>
      </c>
      <c r="B64" s="243">
        <v>310787965</v>
      </c>
      <c r="C64" s="119">
        <v>31</v>
      </c>
      <c r="D64" s="153" t="s">
        <v>615</v>
      </c>
      <c r="E64" s="134" t="s">
        <v>600</v>
      </c>
      <c r="F64" s="135" t="s">
        <v>544</v>
      </c>
      <c r="G64" s="144">
        <v>576075</v>
      </c>
      <c r="H64" s="136"/>
      <c r="I64" s="137"/>
      <c r="J64" s="136"/>
      <c r="K64" s="137">
        <v>576489.37</v>
      </c>
      <c r="L64" s="136">
        <v>0</v>
      </c>
      <c r="M64" s="138">
        <v>-59684</v>
      </c>
      <c r="N64" s="138">
        <v>516805.37</v>
      </c>
      <c r="P64" s="113">
        <v>516805</v>
      </c>
      <c r="R64" s="139">
        <v>-0.36999999999534339</v>
      </c>
      <c r="S64" s="137">
        <v>414</v>
      </c>
      <c r="T64" s="140">
        <v>7.1865642494466867E-4</v>
      </c>
    </row>
    <row r="65" spans="1:22" ht="17.25" hidden="1" customHeight="1">
      <c r="A65" s="143">
        <v>310781125</v>
      </c>
      <c r="B65" s="243">
        <v>310781125</v>
      </c>
      <c r="C65" s="119">
        <v>31</v>
      </c>
      <c r="D65" s="134" t="s">
        <v>616</v>
      </c>
      <c r="E65" s="134" t="s">
        <v>600</v>
      </c>
      <c r="F65" s="135" t="s">
        <v>539</v>
      </c>
      <c r="G65" s="136">
        <v>867525</v>
      </c>
      <c r="H65" s="136">
        <v>0</v>
      </c>
      <c r="I65" s="137">
        <v>728</v>
      </c>
      <c r="J65" s="136">
        <v>868253</v>
      </c>
      <c r="K65" s="137">
        <v>876806.84</v>
      </c>
      <c r="L65" s="136"/>
      <c r="M65" s="138">
        <v>-436647</v>
      </c>
      <c r="N65" s="138">
        <v>440159.83999999997</v>
      </c>
      <c r="P65" s="113">
        <v>440159</v>
      </c>
      <c r="R65" s="139">
        <v>-0.83999999996740371</v>
      </c>
      <c r="S65" s="137">
        <v>9281</v>
      </c>
      <c r="T65" s="140">
        <v>1.0698250770871156E-2</v>
      </c>
    </row>
    <row r="66" spans="1:22" ht="17.25" hidden="1" customHeight="1">
      <c r="A66" s="143">
        <v>310781174</v>
      </c>
      <c r="B66" s="243">
        <v>310781174</v>
      </c>
      <c r="C66" s="119">
        <v>31</v>
      </c>
      <c r="D66" s="134" t="s">
        <v>617</v>
      </c>
      <c r="E66" s="134" t="s">
        <v>600</v>
      </c>
      <c r="F66" s="135" t="s">
        <v>539</v>
      </c>
      <c r="G66" s="136">
        <v>1164780</v>
      </c>
      <c r="H66" s="136">
        <v>1</v>
      </c>
      <c r="I66" s="137">
        <v>922</v>
      </c>
      <c r="J66" s="136">
        <v>1165703</v>
      </c>
      <c r="K66" s="137">
        <v>1188639.94</v>
      </c>
      <c r="L66" s="136"/>
      <c r="M66" s="138">
        <v>-605920</v>
      </c>
      <c r="N66" s="138">
        <v>582719.93999999994</v>
      </c>
      <c r="P66" s="113">
        <v>582719</v>
      </c>
      <c r="R66" s="139">
        <v>-0.93999999994412065</v>
      </c>
      <c r="S66" s="137">
        <v>23859</v>
      </c>
      <c r="T66" s="145">
        <v>2.0483696492041417E-2</v>
      </c>
      <c r="U66" s="149" t="s">
        <v>618</v>
      </c>
      <c r="V66" s="147">
        <v>45474</v>
      </c>
    </row>
    <row r="67" spans="1:22" ht="17.25" hidden="1" customHeight="1">
      <c r="A67" s="143">
        <v>310781406</v>
      </c>
      <c r="B67" s="243">
        <v>310000484</v>
      </c>
      <c r="C67" s="119">
        <v>31</v>
      </c>
      <c r="D67" s="134" t="s">
        <v>619</v>
      </c>
      <c r="E67" s="134" t="s">
        <v>600</v>
      </c>
      <c r="F67" s="135" t="s">
        <v>533</v>
      </c>
      <c r="G67" s="136">
        <v>9758365.6199999992</v>
      </c>
      <c r="H67" s="136"/>
      <c r="I67" s="137"/>
      <c r="J67" s="136"/>
      <c r="K67" s="137">
        <v>9773350.7300000004</v>
      </c>
      <c r="L67" s="136">
        <v>0</v>
      </c>
      <c r="M67" s="138">
        <v>754013</v>
      </c>
      <c r="N67" s="138">
        <v>10527363.73</v>
      </c>
      <c r="P67" s="113">
        <v>10527363</v>
      </c>
      <c r="R67" s="139">
        <v>-0.73000000044703484</v>
      </c>
      <c r="S67" s="137">
        <v>14984.38000000082</v>
      </c>
      <c r="T67" s="140">
        <v>1.5355419732675298E-3</v>
      </c>
    </row>
    <row r="68" spans="1:22" ht="17.25" hidden="1" customHeight="1">
      <c r="A68" s="143">
        <v>310781422</v>
      </c>
      <c r="B68" s="243">
        <v>310781422</v>
      </c>
      <c r="C68" s="119">
        <v>31</v>
      </c>
      <c r="D68" s="134" t="s">
        <v>620</v>
      </c>
      <c r="E68" s="134" t="s">
        <v>600</v>
      </c>
      <c r="F68" s="135" t="s">
        <v>544</v>
      </c>
      <c r="G68" s="136">
        <v>7003986.7300000004</v>
      </c>
      <c r="H68" s="136"/>
      <c r="I68" s="137"/>
      <c r="J68" s="136"/>
      <c r="K68" s="137">
        <v>117916.73</v>
      </c>
      <c r="L68" s="136">
        <v>6905363</v>
      </c>
      <c r="M68" s="138">
        <v>0</v>
      </c>
      <c r="N68" s="138">
        <v>7023279.7300000004</v>
      </c>
      <c r="P68" s="113">
        <v>7023279</v>
      </c>
      <c r="R68" s="139">
        <v>-0.73000000044703484</v>
      </c>
      <c r="S68" s="137">
        <v>19292.269999999553</v>
      </c>
      <c r="T68" s="140">
        <v>2.7544698103674952E-3</v>
      </c>
    </row>
    <row r="69" spans="1:22" ht="17.25" hidden="1" customHeight="1">
      <c r="A69" s="143">
        <v>310781695</v>
      </c>
      <c r="B69" s="243">
        <v>310781695</v>
      </c>
      <c r="C69" s="119">
        <v>31</v>
      </c>
      <c r="D69" s="134" t="s">
        <v>621</v>
      </c>
      <c r="E69" s="134" t="s">
        <v>600</v>
      </c>
      <c r="F69" s="135" t="s">
        <v>539</v>
      </c>
      <c r="G69" s="136">
        <v>2554297.58</v>
      </c>
      <c r="H69" s="136"/>
      <c r="I69" s="137"/>
      <c r="J69" s="136"/>
      <c r="K69" s="137">
        <v>2556409.58</v>
      </c>
      <c r="L69" s="136">
        <v>0</v>
      </c>
      <c r="M69" s="138">
        <v>286145</v>
      </c>
      <c r="N69" s="138">
        <v>2842554.58</v>
      </c>
      <c r="P69" s="113">
        <v>2842554</v>
      </c>
      <c r="R69" s="139">
        <v>-0.58000000007450581</v>
      </c>
      <c r="S69" s="137">
        <v>2111.4199999999255</v>
      </c>
      <c r="T69" s="140">
        <v>8.2661472826510895E-4</v>
      </c>
    </row>
    <row r="70" spans="1:22" ht="17.25" hidden="1" customHeight="1">
      <c r="A70" s="143">
        <v>310781984</v>
      </c>
      <c r="B70" s="243">
        <v>310781984</v>
      </c>
      <c r="C70" s="119">
        <v>31</v>
      </c>
      <c r="D70" s="134" t="s">
        <v>622</v>
      </c>
      <c r="E70" s="134" t="s">
        <v>600</v>
      </c>
      <c r="F70" s="135" t="s">
        <v>539</v>
      </c>
      <c r="G70" s="136">
        <v>4162095</v>
      </c>
      <c r="H70" s="136">
        <v>0</v>
      </c>
      <c r="I70" s="137">
        <v>3171</v>
      </c>
      <c r="J70" s="136">
        <v>4165266</v>
      </c>
      <c r="K70" s="137">
        <v>4240637</v>
      </c>
      <c r="L70" s="136"/>
      <c r="M70" s="138">
        <v>-1917943</v>
      </c>
      <c r="N70" s="138">
        <v>2322694</v>
      </c>
      <c r="P70" s="113">
        <v>2322694</v>
      </c>
      <c r="R70" s="139">
        <v>0</v>
      </c>
      <c r="S70" s="137">
        <v>78542</v>
      </c>
      <c r="T70" s="140">
        <v>1.8870785025329791E-2</v>
      </c>
    </row>
    <row r="71" spans="1:22" ht="17.25" hidden="1" customHeight="1">
      <c r="A71" s="143">
        <v>310782016</v>
      </c>
      <c r="B71" s="243">
        <v>310782016</v>
      </c>
      <c r="C71" s="119">
        <v>31</v>
      </c>
      <c r="D71" s="134" t="s">
        <v>623</v>
      </c>
      <c r="E71" s="134" t="s">
        <v>600</v>
      </c>
      <c r="F71" s="135" t="s">
        <v>539</v>
      </c>
      <c r="G71" s="136">
        <v>1670754</v>
      </c>
      <c r="H71" s="136">
        <v>1</v>
      </c>
      <c r="I71" s="137">
        <v>1572</v>
      </c>
      <c r="J71" s="136">
        <v>1672327</v>
      </c>
      <c r="K71" s="137">
        <v>1681463.22</v>
      </c>
      <c r="L71" s="136"/>
      <c r="M71" s="138">
        <v>701967</v>
      </c>
      <c r="N71" s="138">
        <v>2383430.2199999997</v>
      </c>
      <c r="P71" s="113">
        <v>2383430</v>
      </c>
      <c r="R71" s="139">
        <v>-0.21999999973922968</v>
      </c>
      <c r="S71" s="137">
        <v>10709</v>
      </c>
      <c r="T71" s="140">
        <v>6.409680898564361E-3</v>
      </c>
    </row>
    <row r="72" spans="1:22" ht="17.25" hidden="1" customHeight="1">
      <c r="A72" s="143">
        <v>310782396</v>
      </c>
      <c r="B72" s="243">
        <v>310782396</v>
      </c>
      <c r="C72" s="119">
        <v>31</v>
      </c>
      <c r="D72" s="134" t="s">
        <v>624</v>
      </c>
      <c r="E72" s="134" t="s">
        <v>600</v>
      </c>
      <c r="F72" s="135" t="s">
        <v>539</v>
      </c>
      <c r="G72" s="136">
        <v>3861150</v>
      </c>
      <c r="H72" s="136">
        <v>0</v>
      </c>
      <c r="I72" s="137">
        <v>3362</v>
      </c>
      <c r="J72" s="136">
        <v>3864512</v>
      </c>
      <c r="K72" s="137">
        <v>3898397</v>
      </c>
      <c r="L72" s="136"/>
      <c r="M72" s="138">
        <v>750066</v>
      </c>
      <c r="N72" s="138">
        <v>4648463</v>
      </c>
      <c r="P72" s="113">
        <v>4648463</v>
      </c>
      <c r="R72" s="139">
        <v>0</v>
      </c>
      <c r="S72" s="137">
        <v>37247</v>
      </c>
      <c r="T72" s="140">
        <v>9.646607875891897E-3</v>
      </c>
    </row>
    <row r="73" spans="1:22" ht="17.25" hidden="1" customHeight="1">
      <c r="A73" s="143">
        <v>310784830</v>
      </c>
      <c r="B73" s="243">
        <v>310784830</v>
      </c>
      <c r="C73" s="119">
        <v>31</v>
      </c>
      <c r="D73" s="134" t="s">
        <v>625</v>
      </c>
      <c r="E73" s="134" t="s">
        <v>600</v>
      </c>
      <c r="F73" s="135" t="s">
        <v>539</v>
      </c>
      <c r="G73" s="136">
        <v>4134435</v>
      </c>
      <c r="H73" s="136">
        <v>0</v>
      </c>
      <c r="I73" s="137">
        <v>3501</v>
      </c>
      <c r="J73" s="136">
        <v>4137936</v>
      </c>
      <c r="K73" s="137">
        <v>4175932.78</v>
      </c>
      <c r="L73" s="136"/>
      <c r="M73" s="138">
        <v>343697</v>
      </c>
      <c r="N73" s="138">
        <v>4519629.7799999993</v>
      </c>
      <c r="P73" s="113">
        <v>4519629</v>
      </c>
      <c r="R73" s="139">
        <v>-0.77999999932944775</v>
      </c>
      <c r="S73" s="137">
        <v>41497</v>
      </c>
      <c r="T73" s="140">
        <v>1.0036921610812603E-2</v>
      </c>
    </row>
    <row r="74" spans="1:22" ht="17.25" hidden="1" customHeight="1">
      <c r="A74" s="154">
        <v>310786256</v>
      </c>
      <c r="B74" s="243">
        <v>310013628</v>
      </c>
      <c r="C74" s="119">
        <v>31</v>
      </c>
      <c r="D74" s="134" t="s">
        <v>626</v>
      </c>
      <c r="E74" s="134" t="s">
        <v>600</v>
      </c>
      <c r="F74" s="135" t="s">
        <v>533</v>
      </c>
      <c r="G74" s="136">
        <v>1504545.45</v>
      </c>
      <c r="H74" s="136"/>
      <c r="I74" s="137"/>
      <c r="J74" s="136"/>
      <c r="K74" s="137">
        <v>1506874.96</v>
      </c>
      <c r="L74" s="136">
        <v>0</v>
      </c>
      <c r="M74" s="138">
        <v>-63524</v>
      </c>
      <c r="N74" s="138">
        <v>1443350.96</v>
      </c>
      <c r="P74" s="113">
        <v>1443350</v>
      </c>
      <c r="R74" s="139">
        <v>-0.9599999999627471</v>
      </c>
      <c r="S74" s="137">
        <v>2328.5500000000466</v>
      </c>
      <c r="T74" s="140">
        <v>1.5476767418359124E-3</v>
      </c>
    </row>
    <row r="75" spans="1:22" ht="17.25" hidden="1" customHeight="1">
      <c r="A75" s="143">
        <v>310786389</v>
      </c>
      <c r="B75" s="243">
        <v>310786389</v>
      </c>
      <c r="C75" s="119">
        <v>31</v>
      </c>
      <c r="D75" s="134" t="s">
        <v>627</v>
      </c>
      <c r="E75" s="134" t="s">
        <v>600</v>
      </c>
      <c r="F75" s="135" t="s">
        <v>539</v>
      </c>
      <c r="G75" s="136">
        <v>2432885</v>
      </c>
      <c r="H75" s="136">
        <v>0</v>
      </c>
      <c r="I75" s="137">
        <v>2075</v>
      </c>
      <c r="J75" s="136">
        <v>2434960</v>
      </c>
      <c r="K75" s="137">
        <v>2455708.52</v>
      </c>
      <c r="L75" s="136"/>
      <c r="M75" s="138">
        <v>-245559</v>
      </c>
      <c r="N75" s="138">
        <v>2210149.52</v>
      </c>
      <c r="P75" s="113">
        <v>2210149</v>
      </c>
      <c r="R75" s="139">
        <v>-0.52000000001862645</v>
      </c>
      <c r="S75" s="137">
        <v>22823</v>
      </c>
      <c r="T75" s="140">
        <v>9.3810434936299914E-3</v>
      </c>
    </row>
    <row r="76" spans="1:22" ht="17.25" hidden="1" customHeight="1">
      <c r="A76" s="143">
        <v>310786702</v>
      </c>
      <c r="B76" s="243">
        <v>310786702</v>
      </c>
      <c r="C76" s="119">
        <v>31</v>
      </c>
      <c r="D76" s="134" t="s">
        <v>628</v>
      </c>
      <c r="E76" s="134" t="s">
        <v>600</v>
      </c>
      <c r="F76" s="135" t="s">
        <v>544</v>
      </c>
      <c r="G76" s="136">
        <v>1551875.57</v>
      </c>
      <c r="H76" s="136"/>
      <c r="I76" s="137"/>
      <c r="J76" s="136"/>
      <c r="K76" s="137">
        <v>1553046.57</v>
      </c>
      <c r="L76" s="136"/>
      <c r="M76" s="138">
        <v>50058</v>
      </c>
      <c r="N76" s="138">
        <v>1603104.57</v>
      </c>
      <c r="P76" s="113">
        <v>1603104</v>
      </c>
      <c r="R76" s="139">
        <v>-0.57000000006519258</v>
      </c>
      <c r="S76" s="137">
        <v>1170.4299999999348</v>
      </c>
      <c r="T76" s="140">
        <v>7.5420350872585403E-4</v>
      </c>
    </row>
    <row r="77" spans="1:22" ht="17.25" hidden="1" customHeight="1">
      <c r="A77" s="143">
        <v>310790472</v>
      </c>
      <c r="B77" s="243">
        <v>310790472</v>
      </c>
      <c r="C77" s="119">
        <v>31</v>
      </c>
      <c r="D77" s="134" t="s">
        <v>629</v>
      </c>
      <c r="E77" s="134" t="s">
        <v>600</v>
      </c>
      <c r="F77" s="135" t="s">
        <v>539</v>
      </c>
      <c r="G77" s="136">
        <v>5553820</v>
      </c>
      <c r="H77" s="136">
        <v>0</v>
      </c>
      <c r="I77" s="137">
        <v>4906</v>
      </c>
      <c r="J77" s="136">
        <v>5558726</v>
      </c>
      <c r="K77" s="137">
        <v>5587951</v>
      </c>
      <c r="L77" s="136"/>
      <c r="M77" s="138">
        <v>697428</v>
      </c>
      <c r="N77" s="138">
        <v>6285379</v>
      </c>
      <c r="P77" s="113">
        <v>6285379</v>
      </c>
      <c r="R77" s="139">
        <v>0</v>
      </c>
      <c r="S77" s="137">
        <v>34131</v>
      </c>
      <c r="T77" s="140">
        <v>6.1454998541544377E-3</v>
      </c>
    </row>
    <row r="78" spans="1:22" ht="17.25" hidden="1" customHeight="1">
      <c r="A78" s="143">
        <v>310792635</v>
      </c>
      <c r="B78" s="243">
        <v>310792635</v>
      </c>
      <c r="C78" s="119">
        <v>31</v>
      </c>
      <c r="D78" s="134" t="s">
        <v>630</v>
      </c>
      <c r="E78" s="134" t="s">
        <v>600</v>
      </c>
      <c r="F78" s="135" t="s">
        <v>539</v>
      </c>
      <c r="G78" s="136">
        <v>2654553</v>
      </c>
      <c r="H78" s="136">
        <v>0</v>
      </c>
      <c r="I78" s="137">
        <v>2251</v>
      </c>
      <c r="J78" s="136">
        <v>2656804</v>
      </c>
      <c r="K78" s="137">
        <v>2679165.59</v>
      </c>
      <c r="L78" s="136"/>
      <c r="M78" s="138">
        <v>366527</v>
      </c>
      <c r="N78" s="138">
        <v>3045692.59</v>
      </c>
      <c r="P78" s="113">
        <v>3045692</v>
      </c>
      <c r="R78" s="139">
        <v>-0.58999999985098839</v>
      </c>
      <c r="S78" s="137">
        <v>24612</v>
      </c>
      <c r="T78" s="140">
        <v>9.2716174813612679E-3</v>
      </c>
    </row>
    <row r="79" spans="1:22" ht="17.25" hidden="1" customHeight="1">
      <c r="A79" s="143">
        <v>310792874</v>
      </c>
      <c r="B79" s="243">
        <v>310792874</v>
      </c>
      <c r="C79" s="119">
        <v>31</v>
      </c>
      <c r="D79" s="134" t="s">
        <v>631</v>
      </c>
      <c r="E79" s="134" t="s">
        <v>600</v>
      </c>
      <c r="F79" s="135" t="s">
        <v>544</v>
      </c>
      <c r="G79" s="136">
        <v>953936</v>
      </c>
      <c r="H79" s="136"/>
      <c r="I79" s="137"/>
      <c r="J79" s="136"/>
      <c r="K79" s="137">
        <v>12705.05</v>
      </c>
      <c r="L79" s="136">
        <v>942030</v>
      </c>
      <c r="M79" s="138">
        <v>0</v>
      </c>
      <c r="N79" s="138">
        <v>954735.05</v>
      </c>
      <c r="P79" s="113">
        <v>954735</v>
      </c>
      <c r="R79" s="139">
        <v>-5.0000000046566129E-2</v>
      </c>
      <c r="S79" s="137">
        <v>799</v>
      </c>
      <c r="T79" s="140">
        <v>8.3758239546468521E-4</v>
      </c>
    </row>
    <row r="80" spans="1:22" ht="17.25" hidden="1" customHeight="1">
      <c r="A80" s="143">
        <v>320004310</v>
      </c>
      <c r="B80" s="243">
        <v>320000110</v>
      </c>
      <c r="C80" s="119">
        <v>32</v>
      </c>
      <c r="D80" s="134" t="s">
        <v>632</v>
      </c>
      <c r="E80" s="134" t="s">
        <v>633</v>
      </c>
      <c r="F80" s="135" t="s">
        <v>533</v>
      </c>
      <c r="G80" s="136">
        <v>890475</v>
      </c>
      <c r="H80" s="136"/>
      <c r="I80" s="137"/>
      <c r="J80" s="136"/>
      <c r="K80" s="137">
        <v>892023.52</v>
      </c>
      <c r="L80" s="136">
        <v>0</v>
      </c>
      <c r="M80" s="138">
        <v>-259839</v>
      </c>
      <c r="N80" s="138">
        <v>632184.52</v>
      </c>
      <c r="P80" s="113">
        <v>632184</v>
      </c>
      <c r="R80" s="139">
        <v>-0.52000000001862645</v>
      </c>
      <c r="S80" s="137">
        <v>1548</v>
      </c>
      <c r="T80" s="140">
        <v>1.7383980459866925E-3</v>
      </c>
    </row>
    <row r="81" spans="1:22" ht="17.25" hidden="1" customHeight="1">
      <c r="A81" s="143">
        <v>320004930</v>
      </c>
      <c r="B81" s="243">
        <v>320004930</v>
      </c>
      <c r="C81" s="119">
        <v>32</v>
      </c>
      <c r="D81" s="134" t="s">
        <v>634</v>
      </c>
      <c r="E81" s="134" t="s">
        <v>633</v>
      </c>
      <c r="F81" s="135" t="s">
        <v>539</v>
      </c>
      <c r="G81" s="136">
        <v>5623555</v>
      </c>
      <c r="H81" s="136">
        <v>0</v>
      </c>
      <c r="I81" s="137">
        <v>4831</v>
      </c>
      <c r="J81" s="136">
        <v>5628386</v>
      </c>
      <c r="K81" s="137">
        <v>5664316</v>
      </c>
      <c r="L81" s="136"/>
      <c r="M81" s="138">
        <v>964326</v>
      </c>
      <c r="N81" s="138">
        <v>6628642</v>
      </c>
      <c r="P81" s="113">
        <v>6628642</v>
      </c>
      <c r="R81" s="139">
        <v>0</v>
      </c>
      <c r="S81" s="137">
        <v>40761</v>
      </c>
      <c r="T81" s="140">
        <v>7.2482619979710346E-3</v>
      </c>
    </row>
    <row r="82" spans="1:22" ht="17.25" hidden="1" customHeight="1">
      <c r="A82" s="143">
        <v>320780117</v>
      </c>
      <c r="B82" s="243">
        <v>320000086</v>
      </c>
      <c r="C82" s="119">
        <v>32</v>
      </c>
      <c r="D82" s="134" t="s">
        <v>635</v>
      </c>
      <c r="E82" s="134" t="s">
        <v>633</v>
      </c>
      <c r="F82" s="135" t="s">
        <v>533</v>
      </c>
      <c r="G82" s="136">
        <v>3367199.95</v>
      </c>
      <c r="H82" s="136"/>
      <c r="I82" s="137"/>
      <c r="J82" s="136"/>
      <c r="K82" s="137">
        <v>3372077.23</v>
      </c>
      <c r="L82" s="136">
        <v>0</v>
      </c>
      <c r="M82" s="138">
        <v>1955516</v>
      </c>
      <c r="N82" s="138">
        <v>5327593.2300000004</v>
      </c>
      <c r="P82" s="113">
        <v>5327593</v>
      </c>
      <c r="R82" s="139">
        <v>-0.23000000044703484</v>
      </c>
      <c r="S82" s="137">
        <v>4877.0499999998137</v>
      </c>
      <c r="T82" s="140">
        <v>1.4483992849904305E-3</v>
      </c>
    </row>
    <row r="83" spans="1:22" ht="17.25" hidden="1" customHeight="1">
      <c r="A83" s="143">
        <v>320780133</v>
      </c>
      <c r="B83" s="243">
        <v>320000102</v>
      </c>
      <c r="C83" s="119">
        <v>32</v>
      </c>
      <c r="D83" s="134" t="s">
        <v>636</v>
      </c>
      <c r="E83" s="134" t="s">
        <v>637</v>
      </c>
      <c r="F83" s="135" t="s">
        <v>533</v>
      </c>
      <c r="G83" s="136">
        <v>660143.84</v>
      </c>
      <c r="H83" s="136"/>
      <c r="I83" s="137"/>
      <c r="J83" s="136"/>
      <c r="K83" s="137">
        <v>661276.57999999996</v>
      </c>
      <c r="L83" s="136">
        <v>0</v>
      </c>
      <c r="M83" s="138">
        <v>-262330</v>
      </c>
      <c r="N83" s="138">
        <v>398946.57999999996</v>
      </c>
      <c r="P83" s="113">
        <v>398946</v>
      </c>
      <c r="R83" s="139">
        <v>-0.57999999995809048</v>
      </c>
      <c r="S83" s="137">
        <v>1132.1600000000326</v>
      </c>
      <c r="T83" s="140">
        <v>1.7150201689377768E-3</v>
      </c>
    </row>
    <row r="84" spans="1:22" ht="17.25" hidden="1" customHeight="1">
      <c r="A84" s="143">
        <v>320780158</v>
      </c>
      <c r="B84" s="243">
        <v>320000128</v>
      </c>
      <c r="C84" s="119">
        <v>32</v>
      </c>
      <c r="D84" s="134" t="s">
        <v>638</v>
      </c>
      <c r="E84" s="134" t="s">
        <v>600</v>
      </c>
      <c r="F84" s="135" t="s">
        <v>533</v>
      </c>
      <c r="G84" s="136">
        <v>585188</v>
      </c>
      <c r="H84" s="136"/>
      <c r="I84" s="137"/>
      <c r="J84" s="136"/>
      <c r="K84" s="137">
        <v>586041.89</v>
      </c>
      <c r="L84" s="136">
        <v>0</v>
      </c>
      <c r="M84" s="138">
        <v>-134153</v>
      </c>
      <c r="N84" s="138">
        <v>451888.89</v>
      </c>
      <c r="P84" s="113">
        <v>451888</v>
      </c>
      <c r="R84" s="139">
        <v>-0.89000000001396984</v>
      </c>
      <c r="S84" s="137">
        <v>853</v>
      </c>
      <c r="T84" s="140">
        <v>1.4576512163612376E-3</v>
      </c>
    </row>
    <row r="85" spans="1:22" ht="17.25" hidden="1" customHeight="1">
      <c r="A85" s="143">
        <v>320780174</v>
      </c>
      <c r="B85" s="243">
        <v>320000144</v>
      </c>
      <c r="C85" s="119">
        <v>32</v>
      </c>
      <c r="D85" s="134" t="s">
        <v>639</v>
      </c>
      <c r="E85" s="134" t="s">
        <v>600</v>
      </c>
      <c r="F85" s="135" t="s">
        <v>533</v>
      </c>
      <c r="G85" s="136">
        <v>917909.7</v>
      </c>
      <c r="H85" s="136"/>
      <c r="I85" s="137"/>
      <c r="J85" s="136"/>
      <c r="K85" s="137">
        <v>919305.8</v>
      </c>
      <c r="L85" s="136">
        <v>0</v>
      </c>
      <c r="M85" s="138">
        <v>-488291</v>
      </c>
      <c r="N85" s="138">
        <v>431014.80000000005</v>
      </c>
      <c r="P85" s="113">
        <v>431014</v>
      </c>
      <c r="R85" s="139">
        <v>-0.80000000004656613</v>
      </c>
      <c r="S85" s="137">
        <v>1395.3000000000466</v>
      </c>
      <c r="T85" s="140">
        <v>1.5200841651417853E-3</v>
      </c>
    </row>
    <row r="86" spans="1:22" ht="17.25" hidden="1" customHeight="1">
      <c r="A86" s="143">
        <v>320780182</v>
      </c>
      <c r="B86" s="243">
        <v>320000151</v>
      </c>
      <c r="C86" s="119">
        <v>32</v>
      </c>
      <c r="D86" s="134" t="s">
        <v>640</v>
      </c>
      <c r="E86" s="134" t="s">
        <v>633</v>
      </c>
      <c r="F86" s="135" t="s">
        <v>533</v>
      </c>
      <c r="G86" s="136">
        <v>615211.49</v>
      </c>
      <c r="H86" s="136"/>
      <c r="I86" s="137"/>
      <c r="J86" s="136"/>
      <c r="K86" s="137">
        <v>616208.91</v>
      </c>
      <c r="L86" s="136">
        <v>0</v>
      </c>
      <c r="M86" s="138">
        <v>-32965</v>
      </c>
      <c r="N86" s="138">
        <v>583243.91</v>
      </c>
      <c r="P86" s="113">
        <v>583243</v>
      </c>
      <c r="R86" s="139">
        <v>-0.91000000003259629</v>
      </c>
      <c r="S86" s="137">
        <v>996.51000000000931</v>
      </c>
      <c r="T86" s="140">
        <v>1.6197844419323334E-3</v>
      </c>
    </row>
    <row r="87" spans="1:22" ht="17.25" hidden="1" customHeight="1">
      <c r="A87" s="143">
        <v>320780190</v>
      </c>
      <c r="B87" s="243">
        <v>320000169</v>
      </c>
      <c r="C87" s="119">
        <v>32</v>
      </c>
      <c r="D87" s="134" t="s">
        <v>641</v>
      </c>
      <c r="E87" s="134" t="s">
        <v>633</v>
      </c>
      <c r="F87" s="135" t="s">
        <v>533</v>
      </c>
      <c r="G87" s="136">
        <v>884280</v>
      </c>
      <c r="H87" s="136"/>
      <c r="I87" s="137"/>
      <c r="J87" s="136"/>
      <c r="K87" s="137">
        <v>885982.66</v>
      </c>
      <c r="L87" s="136">
        <v>0</v>
      </c>
      <c r="M87" s="138">
        <v>-330063</v>
      </c>
      <c r="N87" s="138">
        <v>555919.66</v>
      </c>
      <c r="P87" s="113">
        <v>555919</v>
      </c>
      <c r="R87" s="139">
        <v>-0.66000000003259629</v>
      </c>
      <c r="S87" s="137">
        <v>1702</v>
      </c>
      <c r="T87" s="140">
        <v>1.9247297236169539E-3</v>
      </c>
    </row>
    <row r="88" spans="1:22" ht="17.25" hidden="1" customHeight="1">
      <c r="A88" s="143">
        <v>320780208</v>
      </c>
      <c r="B88" s="243">
        <v>320000177</v>
      </c>
      <c r="C88" s="119">
        <v>32</v>
      </c>
      <c r="D88" s="134" t="s">
        <v>642</v>
      </c>
      <c r="E88" s="134" t="s">
        <v>643</v>
      </c>
      <c r="F88" s="135" t="s">
        <v>533</v>
      </c>
      <c r="G88" s="136">
        <v>836245.86</v>
      </c>
      <c r="H88" s="136"/>
      <c r="I88" s="137"/>
      <c r="J88" s="136"/>
      <c r="K88" s="137">
        <v>837769.77</v>
      </c>
      <c r="L88" s="136">
        <v>0</v>
      </c>
      <c r="M88" s="138">
        <v>-334055</v>
      </c>
      <c r="N88" s="138">
        <v>503714.77</v>
      </c>
      <c r="P88" s="113">
        <v>503714</v>
      </c>
      <c r="R88" s="139">
        <v>-0.77000000001862645</v>
      </c>
      <c r="S88" s="137">
        <v>1523.140000000014</v>
      </c>
      <c r="T88" s="140">
        <v>1.821402141231544E-3</v>
      </c>
    </row>
    <row r="89" spans="1:22" ht="17.25" hidden="1" customHeight="1">
      <c r="A89" s="143">
        <v>320780216</v>
      </c>
      <c r="B89" s="243">
        <v>320000185</v>
      </c>
      <c r="C89" s="119">
        <v>32</v>
      </c>
      <c r="D89" s="134" t="s">
        <v>644</v>
      </c>
      <c r="E89" s="134" t="s">
        <v>633</v>
      </c>
      <c r="F89" s="135" t="s">
        <v>533</v>
      </c>
      <c r="G89" s="136">
        <v>771085.76</v>
      </c>
      <c r="H89" s="136"/>
      <c r="I89" s="137"/>
      <c r="J89" s="136"/>
      <c r="K89" s="137">
        <v>772388.52</v>
      </c>
      <c r="L89" s="136">
        <v>0</v>
      </c>
      <c r="M89" s="138">
        <v>-100286</v>
      </c>
      <c r="N89" s="138">
        <v>672102.52</v>
      </c>
      <c r="P89" s="113">
        <v>672102</v>
      </c>
      <c r="R89" s="139">
        <v>-0.52000000001862645</v>
      </c>
      <c r="S89" s="137">
        <v>1302.2399999999907</v>
      </c>
      <c r="T89" s="140">
        <v>1.6888393840913242E-3</v>
      </c>
    </row>
    <row r="90" spans="1:22" ht="17.25" hidden="1" customHeight="1">
      <c r="A90" s="143">
        <v>320780323</v>
      </c>
      <c r="B90" s="243">
        <v>320780323</v>
      </c>
      <c r="C90" s="119">
        <v>32</v>
      </c>
      <c r="D90" s="134" t="s">
        <v>645</v>
      </c>
      <c r="E90" s="134" t="s">
        <v>633</v>
      </c>
      <c r="F90" s="135" t="s">
        <v>544</v>
      </c>
      <c r="G90" s="136">
        <v>1134165.3899999999</v>
      </c>
      <c r="H90" s="136"/>
      <c r="I90" s="137"/>
      <c r="J90" s="136"/>
      <c r="K90" s="137">
        <v>22704.39</v>
      </c>
      <c r="L90" s="136">
        <v>1112251</v>
      </c>
      <c r="M90" s="138">
        <v>0</v>
      </c>
      <c r="N90" s="138">
        <v>1134955.3899999999</v>
      </c>
      <c r="P90" s="113">
        <v>1134955</v>
      </c>
      <c r="R90" s="139">
        <v>-0.38999999989755452</v>
      </c>
      <c r="S90" s="137">
        <v>789.61000000010245</v>
      </c>
      <c r="T90" s="140">
        <v>6.962035757413674E-4</v>
      </c>
    </row>
    <row r="91" spans="1:22" ht="17.25" hidden="1" customHeight="1">
      <c r="A91" s="143">
        <v>340000025</v>
      </c>
      <c r="B91" s="243">
        <v>340000025</v>
      </c>
      <c r="C91" s="119">
        <v>34</v>
      </c>
      <c r="D91" s="134" t="s">
        <v>646</v>
      </c>
      <c r="E91" s="134" t="s">
        <v>647</v>
      </c>
      <c r="F91" s="135" t="s">
        <v>544</v>
      </c>
      <c r="G91" s="136">
        <v>9927294.6999999993</v>
      </c>
      <c r="H91" s="136"/>
      <c r="I91" s="137"/>
      <c r="J91" s="136"/>
      <c r="K91" s="137">
        <v>143284.70000000001</v>
      </c>
      <c r="L91" s="136">
        <v>9792265</v>
      </c>
      <c r="M91" s="138">
        <v>0</v>
      </c>
      <c r="N91" s="138">
        <v>9935549.6999999993</v>
      </c>
      <c r="P91" s="113">
        <v>9935549</v>
      </c>
      <c r="R91" s="139">
        <v>-0.69999999925494194</v>
      </c>
      <c r="S91" s="137">
        <v>8254.3000000007451</v>
      </c>
      <c r="T91" s="140">
        <v>8.3147526586480264E-4</v>
      </c>
    </row>
    <row r="92" spans="1:22" ht="17.25" hidden="1" customHeight="1">
      <c r="A92" s="143">
        <v>340000439</v>
      </c>
      <c r="B92" s="243">
        <v>340000439</v>
      </c>
      <c r="C92" s="119">
        <v>34</v>
      </c>
      <c r="D92" s="134" t="s">
        <v>648</v>
      </c>
      <c r="E92" s="134" t="s">
        <v>647</v>
      </c>
      <c r="F92" s="135" t="s">
        <v>544</v>
      </c>
      <c r="G92" s="136">
        <v>2278255.7000000002</v>
      </c>
      <c r="H92" s="136"/>
      <c r="I92" s="137"/>
      <c r="J92" s="136"/>
      <c r="K92" s="137">
        <v>2655700.7000000002</v>
      </c>
      <c r="L92" s="136">
        <v>0</v>
      </c>
      <c r="M92" s="138">
        <v>-663748</v>
      </c>
      <c r="N92" s="138">
        <v>1991952.7000000002</v>
      </c>
      <c r="P92" s="113">
        <v>1991952</v>
      </c>
      <c r="R92" s="139">
        <v>-0.70000000018626451</v>
      </c>
      <c r="S92" s="137">
        <v>377444.29999999981</v>
      </c>
      <c r="T92" s="148">
        <v>0.1656724923370102</v>
      </c>
      <c r="U92" s="149" t="s">
        <v>649</v>
      </c>
      <c r="V92" s="147">
        <v>45200</v>
      </c>
    </row>
    <row r="93" spans="1:22" ht="17.25" hidden="1" customHeight="1">
      <c r="A93" s="143">
        <v>340001064</v>
      </c>
      <c r="B93" s="243">
        <v>340001064</v>
      </c>
      <c r="C93" s="119">
        <v>34</v>
      </c>
      <c r="D93" s="134" t="s">
        <v>650</v>
      </c>
      <c r="E93" s="134" t="s">
        <v>647</v>
      </c>
      <c r="F93" s="135" t="s">
        <v>544</v>
      </c>
      <c r="G93" s="136">
        <v>3409075.82</v>
      </c>
      <c r="H93" s="136"/>
      <c r="I93" s="137"/>
      <c r="J93" s="136"/>
      <c r="K93" s="137">
        <v>3411690.82</v>
      </c>
      <c r="L93" s="136">
        <v>0</v>
      </c>
      <c r="M93" s="138">
        <v>-2054691</v>
      </c>
      <c r="N93" s="138">
        <v>1356999.8199999998</v>
      </c>
      <c r="P93" s="113">
        <v>1356999</v>
      </c>
      <c r="R93" s="139">
        <v>-0.81999999983236194</v>
      </c>
      <c r="S93" s="137">
        <v>2614.1800000001676</v>
      </c>
      <c r="T93" s="140">
        <v>7.6682952742311485E-4</v>
      </c>
      <c r="V93" s="147"/>
    </row>
    <row r="94" spans="1:22" ht="17.25" hidden="1" customHeight="1">
      <c r="A94" s="143">
        <v>340009018</v>
      </c>
      <c r="B94" s="243">
        <v>340009018</v>
      </c>
      <c r="C94" s="119">
        <v>34</v>
      </c>
      <c r="D94" s="134" t="s">
        <v>651</v>
      </c>
      <c r="E94" s="134" t="s">
        <v>647</v>
      </c>
      <c r="F94" s="135" t="s">
        <v>539</v>
      </c>
      <c r="G94" s="136">
        <v>3330344</v>
      </c>
      <c r="H94" s="136">
        <v>1</v>
      </c>
      <c r="I94" s="137">
        <v>2918</v>
      </c>
      <c r="J94" s="136">
        <v>3333263</v>
      </c>
      <c r="K94" s="137">
        <v>3361446.81</v>
      </c>
      <c r="L94" s="136"/>
      <c r="M94" s="138">
        <v>127502</v>
      </c>
      <c r="N94" s="138">
        <v>3488948.81</v>
      </c>
      <c r="P94" s="113">
        <v>3488948</v>
      </c>
      <c r="R94" s="139">
        <v>-0.81000000005587935</v>
      </c>
      <c r="S94" s="137">
        <v>31102</v>
      </c>
      <c r="T94" s="140">
        <v>9.3389751929530401E-3</v>
      </c>
      <c r="V94" s="147"/>
    </row>
    <row r="95" spans="1:22" ht="17.25" hidden="1" customHeight="1">
      <c r="A95" s="143">
        <v>340009893</v>
      </c>
      <c r="B95" s="243">
        <v>340780444</v>
      </c>
      <c r="C95" s="119">
        <v>34</v>
      </c>
      <c r="D95" s="134" t="s">
        <v>652</v>
      </c>
      <c r="E95" s="134" t="s">
        <v>653</v>
      </c>
      <c r="F95" s="135" t="s">
        <v>533</v>
      </c>
      <c r="G95" s="136">
        <v>1017627.86</v>
      </c>
      <c r="H95" s="136"/>
      <c r="I95" s="137"/>
      <c r="J95" s="136"/>
      <c r="K95" s="137">
        <v>1019437.26</v>
      </c>
      <c r="L95" s="136">
        <v>0</v>
      </c>
      <c r="M95" s="138">
        <v>196773</v>
      </c>
      <c r="N95" s="138">
        <v>1216210.26</v>
      </c>
      <c r="P95" s="113">
        <v>1216210</v>
      </c>
      <c r="R95" s="139">
        <v>-0.26000000000931323</v>
      </c>
      <c r="S95" s="137">
        <v>1809.140000000014</v>
      </c>
      <c r="T95" s="140">
        <v>1.7778011698697145E-3</v>
      </c>
      <c r="V95" s="147"/>
    </row>
    <row r="96" spans="1:22" ht="17.25" hidden="1" customHeight="1">
      <c r="A96" s="143">
        <v>340011295</v>
      </c>
      <c r="B96" s="243">
        <v>340000223</v>
      </c>
      <c r="C96" s="119">
        <v>34</v>
      </c>
      <c r="D96" s="134" t="s">
        <v>654</v>
      </c>
      <c r="E96" s="134" t="s">
        <v>655</v>
      </c>
      <c r="F96" s="135" t="s">
        <v>533</v>
      </c>
      <c r="G96" s="136">
        <v>3242422</v>
      </c>
      <c r="H96" s="136"/>
      <c r="I96" s="137"/>
      <c r="J96" s="136"/>
      <c r="K96" s="137">
        <v>3247718.36</v>
      </c>
      <c r="L96" s="136">
        <v>0</v>
      </c>
      <c r="M96" s="138">
        <v>-305706</v>
      </c>
      <c r="N96" s="138">
        <v>2942012.36</v>
      </c>
      <c r="P96" s="113">
        <v>2942012</v>
      </c>
      <c r="R96" s="139">
        <v>-0.35999999986961484</v>
      </c>
      <c r="S96" s="137">
        <v>5296</v>
      </c>
      <c r="T96" s="140">
        <v>1.6333469239969381E-3</v>
      </c>
      <c r="V96" s="147"/>
    </row>
    <row r="97" spans="1:22" ht="17.25" hidden="1" customHeight="1">
      <c r="A97" s="143">
        <v>340019090</v>
      </c>
      <c r="B97" s="243">
        <v>340019090</v>
      </c>
      <c r="C97" s="119">
        <v>34</v>
      </c>
      <c r="D97" s="134" t="s">
        <v>656</v>
      </c>
      <c r="E97" s="134" t="s">
        <v>647</v>
      </c>
      <c r="F97" s="135" t="s">
        <v>539</v>
      </c>
      <c r="G97" s="136">
        <v>3976871</v>
      </c>
      <c r="H97" s="136">
        <v>0</v>
      </c>
      <c r="I97" s="137">
        <v>3367</v>
      </c>
      <c r="J97" s="136">
        <v>3980238</v>
      </c>
      <c r="K97" s="137">
        <v>4025794</v>
      </c>
      <c r="L97" s="136"/>
      <c r="M97" s="138">
        <v>-732023</v>
      </c>
      <c r="N97" s="138">
        <v>3293771</v>
      </c>
      <c r="P97" s="113">
        <v>3293771</v>
      </c>
      <c r="R97" s="139">
        <v>0</v>
      </c>
      <c r="S97" s="137">
        <v>48923</v>
      </c>
      <c r="T97" s="140">
        <v>1.2301882560435075E-2</v>
      </c>
      <c r="V97" s="147"/>
    </row>
    <row r="98" spans="1:22" ht="17.25" hidden="1" customHeight="1">
      <c r="A98" s="143">
        <v>340023258</v>
      </c>
      <c r="B98" s="243">
        <v>340023258</v>
      </c>
      <c r="C98" s="119">
        <v>34</v>
      </c>
      <c r="D98" s="134" t="s">
        <v>657</v>
      </c>
      <c r="E98" s="134" t="s">
        <v>593</v>
      </c>
      <c r="F98" s="135" t="s">
        <v>539</v>
      </c>
      <c r="G98" s="136">
        <v>1899999</v>
      </c>
      <c r="H98" s="136">
        <v>0</v>
      </c>
      <c r="I98" s="137">
        <v>1732</v>
      </c>
      <c r="J98" s="136">
        <v>1901731</v>
      </c>
      <c r="K98" s="137">
        <v>1921627.43</v>
      </c>
      <c r="L98" s="136"/>
      <c r="M98" s="138">
        <v>168187</v>
      </c>
      <c r="N98" s="138">
        <v>2089814.43</v>
      </c>
      <c r="P98" s="113">
        <v>2089814</v>
      </c>
      <c r="R98" s="139">
        <v>-0.42999999993480742</v>
      </c>
      <c r="S98" s="137">
        <v>21628</v>
      </c>
      <c r="T98" s="140">
        <v>1.1383163885875729E-2</v>
      </c>
      <c r="V98" s="147"/>
    </row>
    <row r="99" spans="1:22" ht="17.25" hidden="1" customHeight="1">
      <c r="A99" s="143">
        <v>340024512</v>
      </c>
      <c r="B99" s="243">
        <v>340024512</v>
      </c>
      <c r="C99" s="119">
        <v>34</v>
      </c>
      <c r="D99" s="134" t="s">
        <v>658</v>
      </c>
      <c r="E99" s="134" t="s">
        <v>647</v>
      </c>
      <c r="F99" s="135" t="s">
        <v>539</v>
      </c>
      <c r="G99" s="136">
        <v>663917</v>
      </c>
      <c r="H99" s="136"/>
      <c r="I99" s="137"/>
      <c r="J99" s="136"/>
      <c r="K99" s="137">
        <v>664491.17000000004</v>
      </c>
      <c r="L99" s="136"/>
      <c r="M99" s="138">
        <v>-349661</v>
      </c>
      <c r="N99" s="138">
        <v>314830.17000000004</v>
      </c>
      <c r="P99" s="113">
        <v>314830</v>
      </c>
      <c r="R99" s="139">
        <v>-0.17000000004190952</v>
      </c>
      <c r="S99" s="137">
        <v>574</v>
      </c>
      <c r="T99" s="140">
        <v>8.645659020630591E-4</v>
      </c>
      <c r="V99" s="147"/>
    </row>
    <row r="100" spans="1:22" ht="17.25" hidden="1" customHeight="1">
      <c r="A100" s="143">
        <v>340024546</v>
      </c>
      <c r="B100" s="243">
        <v>340024546</v>
      </c>
      <c r="C100" s="119">
        <v>34</v>
      </c>
      <c r="D100" s="134" t="s">
        <v>659</v>
      </c>
      <c r="E100" s="134" t="s">
        <v>647</v>
      </c>
      <c r="F100" s="135" t="s">
        <v>539</v>
      </c>
      <c r="G100" s="136">
        <v>1822145</v>
      </c>
      <c r="H100" s="136">
        <v>0</v>
      </c>
      <c r="I100" s="137">
        <v>1571</v>
      </c>
      <c r="J100" s="136">
        <v>1823716</v>
      </c>
      <c r="K100" s="137">
        <v>1844049.83</v>
      </c>
      <c r="L100" s="136"/>
      <c r="M100" s="138">
        <v>-207147</v>
      </c>
      <c r="N100" s="138">
        <v>1636902.83</v>
      </c>
      <c r="P100" s="113">
        <v>1636902</v>
      </c>
      <c r="R100" s="139">
        <v>-0.83000000007450581</v>
      </c>
      <c r="S100" s="137">
        <v>21904</v>
      </c>
      <c r="T100" s="140">
        <v>1.2020997231285106E-2</v>
      </c>
      <c r="V100" s="147"/>
    </row>
    <row r="101" spans="1:22" ht="17.25" hidden="1" customHeight="1">
      <c r="A101" s="143">
        <v>340027887</v>
      </c>
      <c r="B101" s="243">
        <v>340027887</v>
      </c>
      <c r="C101" s="119">
        <v>34</v>
      </c>
      <c r="D101" s="134" t="s">
        <v>660</v>
      </c>
      <c r="E101" s="134" t="s">
        <v>647</v>
      </c>
      <c r="F101" s="135" t="s">
        <v>539</v>
      </c>
      <c r="G101" s="136">
        <v>76865.61</v>
      </c>
      <c r="H101" s="136"/>
      <c r="I101" s="137"/>
      <c r="J101" s="136"/>
      <c r="K101" s="137">
        <v>4010328.34</v>
      </c>
      <c r="L101" s="136"/>
      <c r="M101" s="138">
        <v>0</v>
      </c>
      <c r="N101" s="138">
        <v>4010328.34</v>
      </c>
      <c r="P101" s="113">
        <v>4010328</v>
      </c>
      <c r="R101" s="139">
        <v>-0.33999999985098839</v>
      </c>
      <c r="S101" s="137">
        <v>3933462.39</v>
      </c>
      <c r="T101" s="155">
        <v>51.17324106320109</v>
      </c>
      <c r="U101" s="152" t="s">
        <v>661</v>
      </c>
      <c r="V101" s="147"/>
    </row>
    <row r="102" spans="1:22" ht="17.25" hidden="1" customHeight="1">
      <c r="A102" s="143">
        <v>340780055</v>
      </c>
      <c r="B102" s="243">
        <v>340017771</v>
      </c>
      <c r="C102" s="119">
        <v>34</v>
      </c>
      <c r="D102" s="134" t="s">
        <v>662</v>
      </c>
      <c r="E102" s="134" t="s">
        <v>663</v>
      </c>
      <c r="F102" s="135" t="s">
        <v>533</v>
      </c>
      <c r="G102" s="136">
        <v>1610321.86</v>
      </c>
      <c r="H102" s="136"/>
      <c r="I102" s="137"/>
      <c r="J102" s="136"/>
      <c r="K102" s="137">
        <v>2006810.78</v>
      </c>
      <c r="L102" s="136">
        <v>0</v>
      </c>
      <c r="M102" s="138">
        <v>-374854</v>
      </c>
      <c r="N102" s="138">
        <v>1631956.78</v>
      </c>
      <c r="P102" s="113">
        <v>1631956</v>
      </c>
      <c r="R102" s="139">
        <v>-0.78000000002793968</v>
      </c>
      <c r="S102" s="137">
        <v>396488.1399999999</v>
      </c>
      <c r="T102" s="148">
        <v>0.2462167035352795</v>
      </c>
      <c r="U102" s="149" t="s">
        <v>664</v>
      </c>
      <c r="V102" s="147">
        <v>45047</v>
      </c>
    </row>
    <row r="103" spans="1:22" ht="17.25" hidden="1" customHeight="1">
      <c r="A103" s="143">
        <v>340780196</v>
      </c>
      <c r="B103" s="243">
        <v>340780196</v>
      </c>
      <c r="C103" s="119">
        <v>34</v>
      </c>
      <c r="D103" s="134" t="s">
        <v>665</v>
      </c>
      <c r="E103" s="134" t="s">
        <v>663</v>
      </c>
      <c r="F103" s="135" t="s">
        <v>539</v>
      </c>
      <c r="G103" s="136">
        <v>2150820</v>
      </c>
      <c r="H103" s="136">
        <v>590503</v>
      </c>
      <c r="I103" s="137">
        <v>1839</v>
      </c>
      <c r="J103" s="136">
        <v>2743162</v>
      </c>
      <c r="K103" s="137">
        <v>2763984</v>
      </c>
      <c r="L103" s="136"/>
      <c r="M103" s="138">
        <v>-335575</v>
      </c>
      <c r="N103" s="138">
        <v>2428409</v>
      </c>
      <c r="P103" s="113">
        <v>2428409</v>
      </c>
      <c r="R103" s="139">
        <v>0</v>
      </c>
      <c r="S103" s="137">
        <v>613164</v>
      </c>
      <c r="T103" s="148">
        <v>0.28508382849331881</v>
      </c>
      <c r="U103" s="149" t="s">
        <v>666</v>
      </c>
      <c r="V103" s="147">
        <v>45170</v>
      </c>
    </row>
    <row r="104" spans="1:22" ht="17.25" hidden="1" customHeight="1">
      <c r="A104" s="143">
        <v>340780212</v>
      </c>
      <c r="B104" s="243">
        <v>340780212</v>
      </c>
      <c r="C104" s="119">
        <v>34</v>
      </c>
      <c r="D104" s="134" t="s">
        <v>667</v>
      </c>
      <c r="E104" s="134" t="s">
        <v>653</v>
      </c>
      <c r="F104" s="135" t="s">
        <v>539</v>
      </c>
      <c r="G104" s="136">
        <v>9075339</v>
      </c>
      <c r="H104" s="136"/>
      <c r="I104" s="137"/>
      <c r="J104" s="136"/>
      <c r="K104" s="137">
        <v>8793272.1300000008</v>
      </c>
      <c r="L104" s="136">
        <v>289895</v>
      </c>
      <c r="M104" s="138">
        <v>0</v>
      </c>
      <c r="N104" s="138">
        <v>9083167.1300000008</v>
      </c>
      <c r="P104" s="113">
        <v>9083167</v>
      </c>
      <c r="R104" s="139">
        <v>-0.13000000081956387</v>
      </c>
      <c r="S104" s="137">
        <v>7828</v>
      </c>
      <c r="T104" s="140">
        <v>8.6255731053132007E-4</v>
      </c>
    </row>
    <row r="105" spans="1:22" ht="17.25" hidden="1" customHeight="1">
      <c r="A105" s="143">
        <v>340780253</v>
      </c>
      <c r="B105" s="243">
        <v>340780253</v>
      </c>
      <c r="C105" s="119">
        <v>34</v>
      </c>
      <c r="D105" s="134" t="s">
        <v>668</v>
      </c>
      <c r="E105" s="134" t="s">
        <v>653</v>
      </c>
      <c r="F105" s="135" t="s">
        <v>539</v>
      </c>
      <c r="G105" s="136">
        <v>1314375</v>
      </c>
      <c r="H105" s="136">
        <v>0</v>
      </c>
      <c r="I105" s="137">
        <v>1110</v>
      </c>
      <c r="J105" s="136">
        <v>1315485</v>
      </c>
      <c r="K105" s="137">
        <v>1332557.55</v>
      </c>
      <c r="L105" s="136"/>
      <c r="M105" s="138">
        <v>56554</v>
      </c>
      <c r="N105" s="138">
        <v>1389111.55</v>
      </c>
      <c r="P105" s="113">
        <v>1389111</v>
      </c>
      <c r="R105" s="139">
        <v>-0.55000000004656613</v>
      </c>
      <c r="S105" s="137">
        <v>18182</v>
      </c>
      <c r="T105" s="140">
        <v>1.383319067998098E-2</v>
      </c>
    </row>
    <row r="106" spans="1:22" ht="17.25" hidden="1" customHeight="1">
      <c r="A106" s="143">
        <v>340780469</v>
      </c>
      <c r="B106" s="243">
        <v>340000181</v>
      </c>
      <c r="C106" s="119">
        <v>34</v>
      </c>
      <c r="D106" s="134" t="s">
        <v>669</v>
      </c>
      <c r="E106" s="134" t="s">
        <v>663</v>
      </c>
      <c r="F106" s="135" t="s">
        <v>533</v>
      </c>
      <c r="G106" s="136">
        <v>1448936</v>
      </c>
      <c r="H106" s="136"/>
      <c r="I106" s="137"/>
      <c r="J106" s="136"/>
      <c r="K106" s="137">
        <v>1451650.04</v>
      </c>
      <c r="L106" s="136">
        <v>0</v>
      </c>
      <c r="M106" s="138">
        <v>38942</v>
      </c>
      <c r="N106" s="138">
        <v>1490592.04</v>
      </c>
      <c r="P106" s="113">
        <v>1490592</v>
      </c>
      <c r="R106" s="139">
        <v>-4.0000000037252903E-2</v>
      </c>
      <c r="S106" s="137">
        <v>2714</v>
      </c>
      <c r="T106" s="140">
        <v>1.8730986047692927E-3</v>
      </c>
    </row>
    <row r="107" spans="1:22" ht="17.25" hidden="1" customHeight="1">
      <c r="A107" s="143">
        <v>340780477</v>
      </c>
      <c r="B107" s="243">
        <v>340785161</v>
      </c>
      <c r="C107" s="119">
        <v>34</v>
      </c>
      <c r="D107" s="134" t="s">
        <v>670</v>
      </c>
      <c r="E107" s="134" t="s">
        <v>647</v>
      </c>
      <c r="F107" s="135" t="s">
        <v>533</v>
      </c>
      <c r="G107" s="136">
        <v>5151877.54</v>
      </c>
      <c r="H107" s="136"/>
      <c r="I107" s="137"/>
      <c r="J107" s="136"/>
      <c r="K107" s="137">
        <v>5163128.7300000004</v>
      </c>
      <c r="L107" s="136">
        <v>0</v>
      </c>
      <c r="M107" s="138">
        <v>1718467</v>
      </c>
      <c r="N107" s="138">
        <v>6881595.7300000004</v>
      </c>
      <c r="P107" s="113">
        <v>6881595</v>
      </c>
      <c r="R107" s="139">
        <v>-0.73000000044703484</v>
      </c>
      <c r="S107" s="137">
        <v>11250.459999999963</v>
      </c>
      <c r="T107" s="140">
        <v>2.1837592048043835E-3</v>
      </c>
    </row>
    <row r="108" spans="1:22" ht="17.25" hidden="1" customHeight="1">
      <c r="A108" s="143">
        <v>340780519</v>
      </c>
      <c r="B108" s="243">
        <v>340000215</v>
      </c>
      <c r="C108" s="119">
        <v>34</v>
      </c>
      <c r="D108" s="134" t="s">
        <v>671</v>
      </c>
      <c r="E108" s="134" t="s">
        <v>647</v>
      </c>
      <c r="F108" s="135" t="s">
        <v>533</v>
      </c>
      <c r="G108" s="136">
        <v>655718</v>
      </c>
      <c r="H108" s="136"/>
      <c r="I108" s="137"/>
      <c r="J108" s="136"/>
      <c r="K108" s="137">
        <v>657060.18000000005</v>
      </c>
      <c r="L108" s="136">
        <v>0</v>
      </c>
      <c r="M108" s="138">
        <v>-10116</v>
      </c>
      <c r="N108" s="138">
        <v>646944.18000000005</v>
      </c>
      <c r="P108" s="113">
        <v>646944</v>
      </c>
      <c r="R108" s="139">
        <v>-0.18000000005122274</v>
      </c>
      <c r="S108" s="137">
        <v>1342</v>
      </c>
      <c r="T108" s="140">
        <v>2.0466115006755954E-3</v>
      </c>
    </row>
    <row r="109" spans="1:22" ht="17.25" hidden="1" customHeight="1">
      <c r="A109" s="143">
        <v>340780543</v>
      </c>
      <c r="B109" s="243">
        <v>340000249</v>
      </c>
      <c r="C109" s="119">
        <v>34</v>
      </c>
      <c r="D109" s="134" t="s">
        <v>672</v>
      </c>
      <c r="E109" s="134" t="s">
        <v>673</v>
      </c>
      <c r="F109" s="135" t="s">
        <v>533</v>
      </c>
      <c r="G109" s="136">
        <v>615072</v>
      </c>
      <c r="H109" s="136"/>
      <c r="I109" s="137"/>
      <c r="J109" s="136"/>
      <c r="K109" s="137">
        <v>616123.56000000006</v>
      </c>
      <c r="L109" s="136">
        <v>0</v>
      </c>
      <c r="M109" s="138">
        <v>-160832</v>
      </c>
      <c r="N109" s="138">
        <v>455291.56000000006</v>
      </c>
      <c r="P109" s="113">
        <v>455291</v>
      </c>
      <c r="R109" s="139">
        <v>-0.56000000005587935</v>
      </c>
      <c r="S109" s="137">
        <v>1051</v>
      </c>
      <c r="T109" s="140">
        <v>1.7087430414650642E-3</v>
      </c>
    </row>
    <row r="110" spans="1:22" ht="17.25" hidden="1" customHeight="1">
      <c r="A110" s="143">
        <v>340780568</v>
      </c>
      <c r="B110" s="243">
        <v>340780568</v>
      </c>
      <c r="C110" s="119">
        <v>34</v>
      </c>
      <c r="D110" s="134" t="s">
        <v>674</v>
      </c>
      <c r="E110" s="134" t="s">
        <v>647</v>
      </c>
      <c r="F110" s="135" t="s">
        <v>539</v>
      </c>
      <c r="G110" s="136">
        <v>1404030</v>
      </c>
      <c r="H110" s="136">
        <v>0</v>
      </c>
      <c r="I110" s="137">
        <v>1135</v>
      </c>
      <c r="J110" s="136">
        <v>1405165</v>
      </c>
      <c r="K110" s="137">
        <v>1420599.87</v>
      </c>
      <c r="L110" s="136"/>
      <c r="M110" s="138">
        <v>-622365</v>
      </c>
      <c r="N110" s="138">
        <v>798234.87000000011</v>
      </c>
      <c r="P110" s="113">
        <v>798234</v>
      </c>
      <c r="R110" s="139">
        <v>-0.87000000011175871</v>
      </c>
      <c r="S110" s="137">
        <v>16569</v>
      </c>
      <c r="T110" s="140">
        <v>1.1801029892523664E-2</v>
      </c>
    </row>
    <row r="111" spans="1:22" ht="17.25" hidden="1" customHeight="1">
      <c r="A111" s="143">
        <v>340780816</v>
      </c>
      <c r="B111" s="243">
        <v>340780816</v>
      </c>
      <c r="C111" s="119">
        <v>34</v>
      </c>
      <c r="D111" s="134" t="s">
        <v>675</v>
      </c>
      <c r="E111" s="134" t="s">
        <v>593</v>
      </c>
      <c r="F111" s="135" t="s">
        <v>544</v>
      </c>
      <c r="G111" s="136">
        <v>3279542</v>
      </c>
      <c r="H111" s="136"/>
      <c r="I111" s="137"/>
      <c r="J111" s="136"/>
      <c r="K111" s="137">
        <v>3282282.11</v>
      </c>
      <c r="L111" s="136">
        <v>0</v>
      </c>
      <c r="M111" s="138">
        <v>968434</v>
      </c>
      <c r="N111" s="138">
        <v>4250716.1099999994</v>
      </c>
      <c r="P111" s="113">
        <v>4250716</v>
      </c>
      <c r="R111" s="139">
        <v>-0.10999999940395355</v>
      </c>
      <c r="S111" s="137">
        <v>2740</v>
      </c>
      <c r="T111" s="140">
        <v>8.3548251554637807E-4</v>
      </c>
    </row>
    <row r="112" spans="1:22" ht="17.25" hidden="1" customHeight="1">
      <c r="A112" s="143">
        <v>340780857</v>
      </c>
      <c r="B112" s="243">
        <v>340780857</v>
      </c>
      <c r="C112" s="119">
        <v>34</v>
      </c>
      <c r="D112" s="134" t="s">
        <v>676</v>
      </c>
      <c r="E112" s="134" t="s">
        <v>647</v>
      </c>
      <c r="F112" s="135" t="s">
        <v>539</v>
      </c>
      <c r="G112" s="136">
        <v>2902547</v>
      </c>
      <c r="H112" s="136">
        <v>0</v>
      </c>
      <c r="I112" s="137">
        <v>2552</v>
      </c>
      <c r="J112" s="136">
        <v>2905099</v>
      </c>
      <c r="K112" s="137">
        <v>2920699</v>
      </c>
      <c r="L112" s="136"/>
      <c r="M112" s="138">
        <v>-662172</v>
      </c>
      <c r="N112" s="138">
        <v>2258527</v>
      </c>
      <c r="P112" s="113">
        <v>2258527</v>
      </c>
      <c r="R112" s="139">
        <v>0</v>
      </c>
      <c r="S112" s="137">
        <v>18152</v>
      </c>
      <c r="T112" s="140">
        <v>6.2538177676364926E-3</v>
      </c>
    </row>
    <row r="113" spans="1:22" ht="17.25" hidden="1" customHeight="1">
      <c r="A113" s="143">
        <v>340781608</v>
      </c>
      <c r="B113" s="243">
        <v>340781608</v>
      </c>
      <c r="C113" s="119">
        <v>34</v>
      </c>
      <c r="D113" s="134" t="s">
        <v>677</v>
      </c>
      <c r="E113" s="134" t="s">
        <v>647</v>
      </c>
      <c r="F113" s="135" t="s">
        <v>544</v>
      </c>
      <c r="G113" s="136">
        <v>3126226</v>
      </c>
      <c r="H113" s="136"/>
      <c r="I113" s="137"/>
      <c r="J113" s="136"/>
      <c r="K113" s="137">
        <v>3128806.48</v>
      </c>
      <c r="L113" s="136">
        <v>0</v>
      </c>
      <c r="M113" s="138">
        <v>1312812</v>
      </c>
      <c r="N113" s="138">
        <v>4441618.4800000004</v>
      </c>
      <c r="P113" s="113">
        <v>4441618</v>
      </c>
      <c r="R113" s="139">
        <v>-0.48000000044703484</v>
      </c>
      <c r="S113" s="137">
        <v>2580</v>
      </c>
      <c r="T113" s="140">
        <v>8.2527622763037603E-4</v>
      </c>
    </row>
    <row r="114" spans="1:22" ht="17.25" hidden="1" customHeight="1">
      <c r="A114" s="143">
        <v>340782002</v>
      </c>
      <c r="B114" s="243">
        <v>340782002</v>
      </c>
      <c r="C114" s="119">
        <v>34</v>
      </c>
      <c r="D114" s="134" t="s">
        <v>678</v>
      </c>
      <c r="E114" s="134" t="s">
        <v>653</v>
      </c>
      <c r="F114" s="135" t="s">
        <v>539</v>
      </c>
      <c r="G114" s="136">
        <v>2124044</v>
      </c>
      <c r="H114" s="136">
        <v>375843</v>
      </c>
      <c r="I114" s="137">
        <v>1791</v>
      </c>
      <c r="J114" s="136">
        <v>2501678</v>
      </c>
      <c r="K114" s="137">
        <v>2523027.4700000002</v>
      </c>
      <c r="L114" s="136"/>
      <c r="M114" s="138">
        <v>-95473</v>
      </c>
      <c r="N114" s="138">
        <v>2427554.4700000002</v>
      </c>
      <c r="P114" s="113">
        <v>2427554</v>
      </c>
      <c r="R114" s="139">
        <v>-0.47000000020489097</v>
      </c>
      <c r="S114" s="137">
        <v>398983</v>
      </c>
      <c r="T114" s="148">
        <v>0.1878412123289348</v>
      </c>
      <c r="U114" s="149" t="s">
        <v>679</v>
      </c>
      <c r="V114" s="147">
        <v>45108</v>
      </c>
    </row>
    <row r="115" spans="1:22" ht="17.25" hidden="1" customHeight="1">
      <c r="A115" s="143">
        <v>340789981</v>
      </c>
      <c r="B115" s="243">
        <v>340789981</v>
      </c>
      <c r="C115" s="119">
        <v>34</v>
      </c>
      <c r="D115" s="134" t="s">
        <v>680</v>
      </c>
      <c r="E115" s="134" t="s">
        <v>647</v>
      </c>
      <c r="F115" s="135" t="s">
        <v>539</v>
      </c>
      <c r="G115" s="136">
        <v>2524538</v>
      </c>
      <c r="H115" s="136">
        <v>0</v>
      </c>
      <c r="I115" s="137">
        <v>2002</v>
      </c>
      <c r="J115" s="136">
        <v>2526540</v>
      </c>
      <c r="K115" s="137">
        <v>2563278.66</v>
      </c>
      <c r="L115" s="136"/>
      <c r="M115" s="138">
        <v>-487313</v>
      </c>
      <c r="N115" s="138">
        <v>2075965.6600000001</v>
      </c>
      <c r="P115" s="113">
        <v>2075965</v>
      </c>
      <c r="R115" s="139">
        <v>-0.66000000014901161</v>
      </c>
      <c r="S115" s="137">
        <v>38740</v>
      </c>
      <c r="T115" s="140">
        <v>1.5345382006529511E-2</v>
      </c>
    </row>
    <row r="116" spans="1:22" ht="17.25" hidden="1" customHeight="1">
      <c r="A116" s="143">
        <v>340796093</v>
      </c>
      <c r="B116" s="243">
        <v>340796093</v>
      </c>
      <c r="C116" s="119">
        <v>34</v>
      </c>
      <c r="D116" s="134" t="s">
        <v>681</v>
      </c>
      <c r="E116" s="134" t="s">
        <v>647</v>
      </c>
      <c r="F116" s="135" t="s">
        <v>539</v>
      </c>
      <c r="G116" s="136">
        <v>2819667.99</v>
      </c>
      <c r="H116" s="136"/>
      <c r="I116" s="137"/>
      <c r="J116" s="136"/>
      <c r="K116" s="137">
        <v>2822043.99</v>
      </c>
      <c r="L116" s="136">
        <v>0</v>
      </c>
      <c r="M116" s="138">
        <v>107423</v>
      </c>
      <c r="N116" s="138">
        <v>2929466.99</v>
      </c>
      <c r="P116" s="113">
        <v>2929466</v>
      </c>
      <c r="R116" s="139">
        <v>-0.99000000022351742</v>
      </c>
      <c r="S116" s="137">
        <v>2375.0099999997765</v>
      </c>
      <c r="T116" s="140">
        <v>8.4230129519602631E-4</v>
      </c>
    </row>
    <row r="117" spans="1:22" ht="17.25" hidden="1" customHeight="1">
      <c r="A117" s="143">
        <v>340796358</v>
      </c>
      <c r="B117" s="243">
        <v>340780220</v>
      </c>
      <c r="C117" s="130">
        <v>34</v>
      </c>
      <c r="D117" s="134" t="s">
        <v>682</v>
      </c>
      <c r="E117" s="134" t="s">
        <v>653</v>
      </c>
      <c r="F117" s="135" t="s">
        <v>533</v>
      </c>
      <c r="G117" s="136">
        <v>5355261</v>
      </c>
      <c r="H117" s="136"/>
      <c r="I117" s="137"/>
      <c r="J117" s="136"/>
      <c r="K117" s="137">
        <v>5364644.29</v>
      </c>
      <c r="L117" s="136">
        <v>0</v>
      </c>
      <c r="M117" s="138">
        <v>-65667</v>
      </c>
      <c r="N117" s="138">
        <v>5298977.29</v>
      </c>
      <c r="P117" s="113">
        <v>5298977</v>
      </c>
      <c r="R117" s="139">
        <v>-0.2900000000372529</v>
      </c>
      <c r="S117" s="137">
        <v>9383</v>
      </c>
      <c r="T117" s="140">
        <v>1.7521088141175566E-3</v>
      </c>
    </row>
    <row r="118" spans="1:22" ht="17.25" hidden="1" customHeight="1">
      <c r="A118" s="143">
        <v>340797596</v>
      </c>
      <c r="B118" s="243">
        <v>340797596</v>
      </c>
      <c r="C118" s="119">
        <v>34</v>
      </c>
      <c r="D118" s="134" t="s">
        <v>683</v>
      </c>
      <c r="E118" s="134" t="s">
        <v>647</v>
      </c>
      <c r="F118" s="135" t="s">
        <v>539</v>
      </c>
      <c r="G118" s="136">
        <v>2081044.78</v>
      </c>
      <c r="H118" s="136"/>
      <c r="I118" s="137"/>
      <c r="J118" s="136"/>
      <c r="K118" s="137">
        <v>2082779.78</v>
      </c>
      <c r="L118" s="136">
        <v>0</v>
      </c>
      <c r="M118" s="138">
        <v>-156202</v>
      </c>
      <c r="N118" s="138">
        <v>1926577.78</v>
      </c>
      <c r="P118" s="113">
        <v>1926577</v>
      </c>
      <c r="R118" s="139">
        <v>-0.78000000002793968</v>
      </c>
      <c r="S118" s="137">
        <v>1734.2199999999721</v>
      </c>
      <c r="T118" s="140">
        <v>8.3334102978791836E-4</v>
      </c>
    </row>
    <row r="119" spans="1:22" ht="17.25" hidden="1" customHeight="1">
      <c r="A119" s="143">
        <v>340798552</v>
      </c>
      <c r="B119" s="243">
        <v>340798552</v>
      </c>
      <c r="C119" s="119">
        <v>34</v>
      </c>
      <c r="D119" s="134" t="s">
        <v>684</v>
      </c>
      <c r="E119" s="134" t="s">
        <v>663</v>
      </c>
      <c r="F119" s="135" t="s">
        <v>539</v>
      </c>
      <c r="G119" s="136">
        <v>2127132</v>
      </c>
      <c r="H119" s="136">
        <v>0</v>
      </c>
      <c r="I119" s="137">
        <v>1830</v>
      </c>
      <c r="J119" s="136">
        <v>2128962</v>
      </c>
      <c r="K119" s="137">
        <v>2147398</v>
      </c>
      <c r="L119" s="136"/>
      <c r="M119" s="138">
        <v>-150505</v>
      </c>
      <c r="N119" s="138">
        <v>1996893</v>
      </c>
      <c r="P119" s="113">
        <v>1996893</v>
      </c>
      <c r="R119" s="139">
        <v>0</v>
      </c>
      <c r="S119" s="137">
        <v>20266</v>
      </c>
      <c r="T119" s="140">
        <v>9.5273824097423191E-3</v>
      </c>
    </row>
    <row r="120" spans="1:22" ht="17.25" hidden="1" customHeight="1">
      <c r="A120" s="143">
        <v>460000060</v>
      </c>
      <c r="B120" s="243">
        <v>460000060</v>
      </c>
      <c r="C120" s="119">
        <v>46</v>
      </c>
      <c r="D120" s="134" t="s">
        <v>685</v>
      </c>
      <c r="E120" s="134" t="s">
        <v>686</v>
      </c>
      <c r="F120" s="135" t="s">
        <v>544</v>
      </c>
      <c r="G120" s="136">
        <v>4830986.42</v>
      </c>
      <c r="H120" s="136"/>
      <c r="I120" s="137"/>
      <c r="J120" s="136"/>
      <c r="K120" s="137">
        <v>4834831.42</v>
      </c>
      <c r="L120" s="136">
        <v>0</v>
      </c>
      <c r="M120" s="138">
        <v>550784</v>
      </c>
      <c r="N120" s="138">
        <v>5385615.4199999999</v>
      </c>
      <c r="P120" s="113">
        <v>5385615</v>
      </c>
      <c r="R120" s="139">
        <v>-0.41999999992549419</v>
      </c>
      <c r="S120" s="137">
        <v>3844.5800000000745</v>
      </c>
      <c r="T120" s="140">
        <v>7.9581676820364043E-4</v>
      </c>
    </row>
    <row r="121" spans="1:22" ht="17.25" hidden="1" customHeight="1">
      <c r="A121" s="143">
        <v>460006349</v>
      </c>
      <c r="B121" s="243">
        <v>460006349</v>
      </c>
      <c r="C121" s="119">
        <v>46</v>
      </c>
      <c r="D121" s="134" t="s">
        <v>687</v>
      </c>
      <c r="E121" s="134" t="s">
        <v>688</v>
      </c>
      <c r="F121" s="135" t="s">
        <v>539</v>
      </c>
      <c r="G121" s="136">
        <v>874108</v>
      </c>
      <c r="H121" s="136">
        <v>0</v>
      </c>
      <c r="I121" s="137">
        <v>674</v>
      </c>
      <c r="J121" s="136">
        <v>874782</v>
      </c>
      <c r="K121" s="137">
        <v>895231.8</v>
      </c>
      <c r="L121" s="136"/>
      <c r="M121" s="138">
        <v>112077</v>
      </c>
      <c r="N121" s="138">
        <v>1007308.8</v>
      </c>
      <c r="P121" s="113">
        <v>1007308</v>
      </c>
      <c r="R121" s="139">
        <v>-0.80000000004656613</v>
      </c>
      <c r="S121" s="137">
        <v>21123</v>
      </c>
      <c r="T121" s="145">
        <v>2.416520613013495E-2</v>
      </c>
      <c r="U121" s="152" t="s">
        <v>661</v>
      </c>
      <c r="V121" s="130"/>
    </row>
    <row r="122" spans="1:22" ht="17.25" hidden="1" customHeight="1">
      <c r="A122" s="143">
        <v>460780042</v>
      </c>
      <c r="B122" s="243">
        <v>460780042</v>
      </c>
      <c r="C122" s="119">
        <v>46</v>
      </c>
      <c r="D122" s="134" t="s">
        <v>689</v>
      </c>
      <c r="E122" s="134" t="s">
        <v>688</v>
      </c>
      <c r="F122" s="135" t="s">
        <v>539</v>
      </c>
      <c r="G122" s="136">
        <v>1240113</v>
      </c>
      <c r="H122" s="136">
        <v>0</v>
      </c>
      <c r="I122" s="137">
        <v>994</v>
      </c>
      <c r="J122" s="136">
        <v>1241107</v>
      </c>
      <c r="K122" s="137">
        <v>1263201.5</v>
      </c>
      <c r="L122" s="136"/>
      <c r="M122" s="138">
        <v>-136214</v>
      </c>
      <c r="N122" s="138">
        <v>1126987.5</v>
      </c>
      <c r="P122" s="113">
        <v>1126987</v>
      </c>
      <c r="R122" s="139">
        <v>-0.5</v>
      </c>
      <c r="S122" s="137">
        <v>23088</v>
      </c>
      <c r="T122" s="140">
        <v>1.8617658229532309E-2</v>
      </c>
    </row>
    <row r="123" spans="1:22" ht="17.25" hidden="1" customHeight="1">
      <c r="A123" s="143">
        <v>460780083</v>
      </c>
      <c r="B123" s="243">
        <v>460007842</v>
      </c>
      <c r="C123" s="119">
        <v>46</v>
      </c>
      <c r="D123" s="134" t="s">
        <v>690</v>
      </c>
      <c r="E123" s="134" t="s">
        <v>691</v>
      </c>
      <c r="F123" s="135" t="s">
        <v>533</v>
      </c>
      <c r="G123" s="136">
        <v>1267270</v>
      </c>
      <c r="H123" s="136"/>
      <c r="I123" s="137"/>
      <c r="J123" s="136"/>
      <c r="K123" s="137">
        <v>1543588.11</v>
      </c>
      <c r="L123" s="136">
        <v>0</v>
      </c>
      <c r="M123" s="138">
        <v>229252</v>
      </c>
      <c r="N123" s="138">
        <v>1772840.11</v>
      </c>
      <c r="P123" s="113">
        <v>1772840</v>
      </c>
      <c r="R123" s="139">
        <v>-0.11000000010244548</v>
      </c>
      <c r="S123" s="137">
        <v>276318</v>
      </c>
      <c r="T123" s="148">
        <v>0.21804193265839167</v>
      </c>
      <c r="U123" s="150" t="s">
        <v>692</v>
      </c>
      <c r="V123" s="151">
        <v>45170</v>
      </c>
    </row>
    <row r="124" spans="1:22" ht="17.25" hidden="1" customHeight="1">
      <c r="A124" s="143">
        <v>460780091</v>
      </c>
      <c r="B124" s="243">
        <v>460000052</v>
      </c>
      <c r="C124" s="119">
        <v>46</v>
      </c>
      <c r="D124" s="134" t="s">
        <v>693</v>
      </c>
      <c r="E124" s="134" t="s">
        <v>694</v>
      </c>
      <c r="F124" s="135" t="s">
        <v>533</v>
      </c>
      <c r="G124" s="136">
        <v>1126042</v>
      </c>
      <c r="H124" s="136"/>
      <c r="I124" s="137"/>
      <c r="J124" s="136"/>
      <c r="K124" s="137">
        <v>1128055.3500000001</v>
      </c>
      <c r="L124" s="136">
        <v>0</v>
      </c>
      <c r="M124" s="138">
        <v>77811</v>
      </c>
      <c r="N124" s="138">
        <v>1205866.3500000001</v>
      </c>
      <c r="P124" s="113">
        <v>1205866</v>
      </c>
      <c r="R124" s="139">
        <v>-0.35000000009313226</v>
      </c>
      <c r="S124" s="137">
        <v>2013</v>
      </c>
      <c r="T124" s="140">
        <v>1.787677546663446E-3</v>
      </c>
    </row>
    <row r="125" spans="1:22" ht="17.25" hidden="1" customHeight="1">
      <c r="A125" s="143">
        <v>460780208</v>
      </c>
      <c r="B125" s="243">
        <v>460000102</v>
      </c>
      <c r="C125" s="119">
        <v>46</v>
      </c>
      <c r="D125" s="134" t="s">
        <v>695</v>
      </c>
      <c r="E125" s="134" t="s">
        <v>686</v>
      </c>
      <c r="F125" s="135" t="s">
        <v>533</v>
      </c>
      <c r="G125" s="136">
        <v>1926976.79</v>
      </c>
      <c r="H125" s="136"/>
      <c r="I125" s="137"/>
      <c r="J125" s="136"/>
      <c r="K125" s="137">
        <v>1930025.66</v>
      </c>
      <c r="L125" s="136">
        <v>0</v>
      </c>
      <c r="M125" s="138">
        <v>506014</v>
      </c>
      <c r="N125" s="138">
        <v>2436039.66</v>
      </c>
      <c r="P125" s="113">
        <v>2436039</v>
      </c>
      <c r="R125" s="139">
        <v>-0.66000000014901161</v>
      </c>
      <c r="S125" s="137">
        <v>3048.2099999999627</v>
      </c>
      <c r="T125" s="140">
        <v>1.581861294759011E-3</v>
      </c>
    </row>
    <row r="126" spans="1:22" ht="17.25" hidden="1" customHeight="1">
      <c r="A126" s="143">
        <v>460780216</v>
      </c>
      <c r="B126" s="244">
        <v>460000110</v>
      </c>
      <c r="C126" s="119">
        <v>46</v>
      </c>
      <c r="D126" s="134" t="s">
        <v>696</v>
      </c>
      <c r="E126" s="134" t="s">
        <v>688</v>
      </c>
      <c r="F126" s="135" t="s">
        <v>533</v>
      </c>
      <c r="G126" s="136">
        <v>489075</v>
      </c>
      <c r="H126" s="136"/>
      <c r="I126" s="137"/>
      <c r="J126" s="136"/>
      <c r="K126" s="137">
        <v>490011.85</v>
      </c>
      <c r="L126" s="136">
        <v>0</v>
      </c>
      <c r="M126" s="138">
        <v>336741</v>
      </c>
      <c r="N126" s="138">
        <v>826752.85</v>
      </c>
      <c r="P126" s="113">
        <v>826752</v>
      </c>
      <c r="R126" s="139">
        <v>-0.84999999997671694</v>
      </c>
      <c r="S126" s="137">
        <v>936</v>
      </c>
      <c r="T126" s="140">
        <v>1.9138168992485815E-3</v>
      </c>
    </row>
    <row r="127" spans="1:22" ht="17.25" customHeight="1">
      <c r="A127" s="143">
        <v>460780554</v>
      </c>
      <c r="B127" s="243">
        <v>460006083</v>
      </c>
      <c r="C127" s="119">
        <v>46</v>
      </c>
      <c r="D127" s="157" t="s">
        <v>697</v>
      </c>
      <c r="E127" s="134" t="s">
        <v>694</v>
      </c>
      <c r="F127" s="135" t="s">
        <v>544</v>
      </c>
      <c r="G127" s="144">
        <v>821109.69</v>
      </c>
      <c r="H127" s="136"/>
      <c r="I127" s="137"/>
      <c r="J127" s="136"/>
      <c r="K127" s="137">
        <v>821731.69</v>
      </c>
      <c r="L127" s="136">
        <v>0</v>
      </c>
      <c r="M127" s="138">
        <v>375217</v>
      </c>
      <c r="N127" s="138">
        <v>1196948.69</v>
      </c>
      <c r="P127" s="113">
        <v>1196948</v>
      </c>
      <c r="R127" s="139">
        <v>-0.68999999994412065</v>
      </c>
      <c r="S127" s="137">
        <v>621.31000000005588</v>
      </c>
      <c r="T127" s="140">
        <v>7.5667113367040633E-4</v>
      </c>
    </row>
    <row r="128" spans="1:22" ht="17.25" hidden="1" customHeight="1">
      <c r="A128" s="143">
        <v>460785900</v>
      </c>
      <c r="B128" s="243">
        <v>460785900</v>
      </c>
      <c r="C128" s="119">
        <v>46</v>
      </c>
      <c r="D128" s="134" t="s">
        <v>698</v>
      </c>
      <c r="E128" s="134" t="s">
        <v>688</v>
      </c>
      <c r="F128" s="135" t="s">
        <v>539</v>
      </c>
      <c r="G128" s="136">
        <v>588368.43000000005</v>
      </c>
      <c r="H128" s="136"/>
      <c r="I128" s="137"/>
      <c r="J128" s="136"/>
      <c r="K128" s="137">
        <v>588869.43000000005</v>
      </c>
      <c r="L128" s="136">
        <v>0</v>
      </c>
      <c r="M128" s="138">
        <v>-77400</v>
      </c>
      <c r="N128" s="138">
        <v>511469.43000000005</v>
      </c>
      <c r="P128" s="113">
        <v>511469</v>
      </c>
      <c r="R128" s="139">
        <v>-0.43000000005122274</v>
      </c>
      <c r="S128" s="137">
        <v>500.56999999994878</v>
      </c>
      <c r="T128" s="140">
        <v>8.50776442916811E-4</v>
      </c>
    </row>
    <row r="129" spans="1:22" ht="17.25" hidden="1" customHeight="1">
      <c r="A129" s="143">
        <v>480000793</v>
      </c>
      <c r="B129" s="243">
        <v>480000793</v>
      </c>
      <c r="C129" s="119">
        <v>48</v>
      </c>
      <c r="D129" s="134" t="s">
        <v>699</v>
      </c>
      <c r="E129" s="134" t="s">
        <v>700</v>
      </c>
      <c r="F129" s="135" t="s">
        <v>544</v>
      </c>
      <c r="G129" s="136">
        <v>931060</v>
      </c>
      <c r="H129" s="136"/>
      <c r="I129" s="137"/>
      <c r="J129" s="136"/>
      <c r="K129" s="137">
        <v>931797.25</v>
      </c>
      <c r="L129" s="136">
        <v>0</v>
      </c>
      <c r="M129" s="138">
        <v>-461352</v>
      </c>
      <c r="N129" s="138">
        <v>470445.25</v>
      </c>
      <c r="P129" s="113">
        <v>470445</v>
      </c>
      <c r="R129" s="139">
        <v>-0.25</v>
      </c>
      <c r="S129" s="137">
        <v>737</v>
      </c>
      <c r="T129" s="140">
        <v>7.9157089768650782E-4</v>
      </c>
    </row>
    <row r="130" spans="1:22" ht="17.25" hidden="1" customHeight="1">
      <c r="A130" s="143">
        <v>480000835</v>
      </c>
      <c r="B130" s="243">
        <v>480000835</v>
      </c>
      <c r="C130" s="119">
        <v>48</v>
      </c>
      <c r="D130" s="134" t="s">
        <v>701</v>
      </c>
      <c r="E130" s="134" t="s">
        <v>700</v>
      </c>
      <c r="F130" s="135" t="s">
        <v>544</v>
      </c>
      <c r="G130" s="136">
        <v>1077037</v>
      </c>
      <c r="H130" s="136"/>
      <c r="I130" s="137"/>
      <c r="J130" s="136"/>
      <c r="K130" s="137">
        <v>1077937.2</v>
      </c>
      <c r="L130" s="136">
        <v>0</v>
      </c>
      <c r="M130" s="138">
        <v>463854</v>
      </c>
      <c r="N130" s="138">
        <v>1541791.2</v>
      </c>
      <c r="P130" s="113">
        <v>1541791</v>
      </c>
      <c r="R130" s="139">
        <v>-0.19999999995343387</v>
      </c>
      <c r="S130" s="137">
        <v>900</v>
      </c>
      <c r="T130" s="140">
        <v>8.3562588843280226E-4</v>
      </c>
    </row>
    <row r="131" spans="1:22" ht="17.25" hidden="1" customHeight="1">
      <c r="A131" s="143">
        <v>480780097</v>
      </c>
      <c r="B131" s="243">
        <v>480780279</v>
      </c>
      <c r="C131" s="119">
        <v>48</v>
      </c>
      <c r="D131" s="134" t="s">
        <v>463</v>
      </c>
      <c r="E131" s="134" t="s">
        <v>700</v>
      </c>
      <c r="F131" s="135" t="s">
        <v>533</v>
      </c>
      <c r="G131" s="144">
        <v>983662.41</v>
      </c>
      <c r="H131" s="136"/>
      <c r="I131" s="137"/>
      <c r="J131" s="136"/>
      <c r="K131" s="137">
        <v>986037.99</v>
      </c>
      <c r="L131" s="136">
        <v>0</v>
      </c>
      <c r="M131" s="138">
        <v>-261656</v>
      </c>
      <c r="N131" s="138">
        <v>724381.99</v>
      </c>
      <c r="P131" s="113">
        <v>724381</v>
      </c>
      <c r="R131" s="139">
        <v>-0.98999999999068677</v>
      </c>
      <c r="S131" s="137">
        <v>2374.5899999999674</v>
      </c>
      <c r="T131" s="140">
        <v>2.4140294229602283E-3</v>
      </c>
    </row>
    <row r="132" spans="1:22" ht="17.25" hidden="1" customHeight="1">
      <c r="A132" s="143">
        <v>480780139</v>
      </c>
      <c r="B132" s="243">
        <v>480000041</v>
      </c>
      <c r="C132" s="119">
        <v>48</v>
      </c>
      <c r="D132" s="134" t="s">
        <v>702</v>
      </c>
      <c r="E132" s="134" t="s">
        <v>700</v>
      </c>
      <c r="F132" s="135" t="s">
        <v>533</v>
      </c>
      <c r="G132" s="136">
        <v>355270.61</v>
      </c>
      <c r="H132" s="136"/>
      <c r="I132" s="137"/>
      <c r="J132" s="136"/>
      <c r="K132" s="137">
        <v>365113.88</v>
      </c>
      <c r="L132" s="136">
        <v>0</v>
      </c>
      <c r="M132" s="138">
        <v>113313</v>
      </c>
      <c r="N132" s="138">
        <v>478426.88</v>
      </c>
      <c r="P132" s="113">
        <v>480880</v>
      </c>
      <c r="R132" s="139">
        <v>2453.1199999999953</v>
      </c>
      <c r="S132" s="137">
        <v>12296.390000000014</v>
      </c>
      <c r="T132" s="145">
        <v>3.4611334723128419E-2</v>
      </c>
      <c r="U132" s="152" t="s">
        <v>661</v>
      </c>
      <c r="V132" s="130"/>
    </row>
    <row r="133" spans="1:22" ht="17.25" hidden="1" customHeight="1">
      <c r="A133" s="143">
        <v>480780154</v>
      </c>
      <c r="B133" s="243">
        <v>480000066</v>
      </c>
      <c r="C133" s="119">
        <v>48</v>
      </c>
      <c r="D133" s="134" t="s">
        <v>703</v>
      </c>
      <c r="E133" s="134" t="s">
        <v>700</v>
      </c>
      <c r="F133" s="135" t="s">
        <v>533</v>
      </c>
      <c r="G133" s="136">
        <v>775528</v>
      </c>
      <c r="H133" s="136"/>
      <c r="I133" s="137"/>
      <c r="J133" s="136"/>
      <c r="K133" s="137">
        <v>776907.84</v>
      </c>
      <c r="L133" s="136">
        <v>0</v>
      </c>
      <c r="M133" s="138">
        <v>264556</v>
      </c>
      <c r="N133" s="138">
        <v>1041463.84</v>
      </c>
      <c r="P133" s="113">
        <v>1041463</v>
      </c>
      <c r="R133" s="139">
        <v>-0.83999999996740371</v>
      </c>
      <c r="S133" s="137">
        <v>1379</v>
      </c>
      <c r="T133" s="140">
        <v>1.7781434068144541E-3</v>
      </c>
    </row>
    <row r="134" spans="1:22" ht="17.25" hidden="1" customHeight="1">
      <c r="A134" s="143">
        <v>480780212</v>
      </c>
      <c r="B134" s="243">
        <v>480780212</v>
      </c>
      <c r="C134" s="119">
        <v>48</v>
      </c>
      <c r="D134" s="134" t="s">
        <v>704</v>
      </c>
      <c r="E134" s="134" t="s">
        <v>700</v>
      </c>
      <c r="F134" s="135" t="s">
        <v>544</v>
      </c>
      <c r="G134" s="136">
        <v>979867.45</v>
      </c>
      <c r="H134" s="136"/>
      <c r="I134" s="137"/>
      <c r="J134" s="136"/>
      <c r="K134" s="137">
        <v>980653.45</v>
      </c>
      <c r="L134" s="136">
        <v>0</v>
      </c>
      <c r="M134" s="138">
        <v>14407</v>
      </c>
      <c r="N134" s="138">
        <v>995060.45</v>
      </c>
      <c r="P134" s="113">
        <v>995060</v>
      </c>
      <c r="R134" s="139">
        <v>-0.44999999995343387</v>
      </c>
      <c r="S134" s="137">
        <v>785.55000000004657</v>
      </c>
      <c r="T134" s="140">
        <v>8.016900653246994E-4</v>
      </c>
    </row>
    <row r="135" spans="1:22" ht="17.25" hidden="1" customHeight="1">
      <c r="A135" s="143">
        <v>480780287</v>
      </c>
      <c r="B135" s="243">
        <v>480780287</v>
      </c>
      <c r="C135" s="119">
        <v>48</v>
      </c>
      <c r="D135" s="134" t="s">
        <v>705</v>
      </c>
      <c r="E135" s="134" t="s">
        <v>700</v>
      </c>
      <c r="F135" s="135" t="s">
        <v>544</v>
      </c>
      <c r="G135" s="136">
        <v>974191.47</v>
      </c>
      <c r="H135" s="136"/>
      <c r="I135" s="137"/>
      <c r="J135" s="136"/>
      <c r="K135" s="137">
        <v>974982.47</v>
      </c>
      <c r="L135" s="136">
        <v>0</v>
      </c>
      <c r="M135" s="138">
        <v>-811952</v>
      </c>
      <c r="N135" s="138">
        <v>163030.46999999997</v>
      </c>
      <c r="P135" s="113">
        <v>163030</v>
      </c>
      <c r="R135" s="139">
        <v>-0.46999999997206032</v>
      </c>
      <c r="S135" s="137">
        <v>790.53000000002794</v>
      </c>
      <c r="T135" s="140">
        <v>8.1147292328481171E-4</v>
      </c>
    </row>
    <row r="136" spans="1:22" ht="17.25" hidden="1" customHeight="1">
      <c r="A136" s="143">
        <v>480783034</v>
      </c>
      <c r="B136" s="243">
        <v>480783034</v>
      </c>
      <c r="C136" s="119">
        <v>48</v>
      </c>
      <c r="D136" s="134" t="s">
        <v>706</v>
      </c>
      <c r="E136" s="134" t="s">
        <v>700</v>
      </c>
      <c r="F136" s="135" t="s">
        <v>544</v>
      </c>
      <c r="G136" s="136">
        <v>1889934.27</v>
      </c>
      <c r="H136" s="136"/>
      <c r="I136" s="137"/>
      <c r="J136" s="136"/>
      <c r="K136" s="137">
        <v>1891406.27</v>
      </c>
      <c r="L136" s="136">
        <v>0</v>
      </c>
      <c r="M136" s="138">
        <v>-589217</v>
      </c>
      <c r="N136" s="138">
        <v>1302189.27</v>
      </c>
      <c r="P136" s="113">
        <v>1302189</v>
      </c>
      <c r="R136" s="139">
        <v>-0.27000000001862645</v>
      </c>
      <c r="S136" s="137">
        <v>1471.7299999999814</v>
      </c>
      <c r="T136" s="140">
        <v>7.7872020385131246E-4</v>
      </c>
    </row>
    <row r="137" spans="1:22" ht="17.25" hidden="1" customHeight="1">
      <c r="A137" s="143">
        <v>650002579</v>
      </c>
      <c r="B137" s="243">
        <v>650002579</v>
      </c>
      <c r="C137" s="119">
        <v>65</v>
      </c>
      <c r="D137" s="134" t="s">
        <v>707</v>
      </c>
      <c r="E137" s="134" t="s">
        <v>708</v>
      </c>
      <c r="F137" s="135" t="s">
        <v>539</v>
      </c>
      <c r="G137" s="136">
        <v>386403</v>
      </c>
      <c r="H137" s="136">
        <v>0</v>
      </c>
      <c r="I137" s="137">
        <v>283</v>
      </c>
      <c r="J137" s="136">
        <v>386686</v>
      </c>
      <c r="K137" s="137">
        <v>392916.88</v>
      </c>
      <c r="L137" s="136"/>
      <c r="M137" s="138">
        <v>-93109</v>
      </c>
      <c r="N137" s="138">
        <v>299807.88</v>
      </c>
      <c r="P137" s="113">
        <v>299807</v>
      </c>
      <c r="R137" s="139">
        <v>-0.88000000000465661</v>
      </c>
      <c r="S137" s="137">
        <v>6513</v>
      </c>
      <c r="T137" s="140">
        <v>1.6855459196745366E-2</v>
      </c>
    </row>
    <row r="138" spans="1:22" ht="17.25" hidden="1" customHeight="1">
      <c r="A138" s="143">
        <v>650780166</v>
      </c>
      <c r="B138" s="243">
        <v>650000052</v>
      </c>
      <c r="C138" s="119">
        <v>65</v>
      </c>
      <c r="D138" s="134" t="s">
        <v>709</v>
      </c>
      <c r="E138" s="134" t="s">
        <v>710</v>
      </c>
      <c r="F138" s="135" t="s">
        <v>533</v>
      </c>
      <c r="G138" s="136">
        <v>8551374.9299999997</v>
      </c>
      <c r="H138" s="136"/>
      <c r="I138" s="137"/>
      <c r="J138" s="136"/>
      <c r="K138" s="137">
        <v>8566520.4299999997</v>
      </c>
      <c r="L138" s="136">
        <v>0</v>
      </c>
      <c r="M138" s="138">
        <v>323856</v>
      </c>
      <c r="N138" s="138">
        <v>8890376.4299999997</v>
      </c>
      <c r="P138" s="113">
        <v>8890376</v>
      </c>
      <c r="R138" s="139">
        <v>-0.42999999970197678</v>
      </c>
      <c r="S138" s="137">
        <v>15145.070000000298</v>
      </c>
      <c r="T138" s="140">
        <v>1.7710684099311617E-3</v>
      </c>
    </row>
    <row r="139" spans="1:22" ht="45" hidden="1">
      <c r="A139" s="143">
        <v>650780174</v>
      </c>
      <c r="B139" s="244">
        <v>650000060</v>
      </c>
      <c r="C139" s="119">
        <v>65</v>
      </c>
      <c r="D139" s="134" t="s">
        <v>711</v>
      </c>
      <c r="E139" s="134" t="s">
        <v>712</v>
      </c>
      <c r="F139" s="135" t="s">
        <v>533</v>
      </c>
      <c r="G139" s="136">
        <v>792862</v>
      </c>
      <c r="H139" s="136"/>
      <c r="I139" s="137"/>
      <c r="J139" s="136"/>
      <c r="K139" s="137">
        <v>874047.55</v>
      </c>
      <c r="L139" s="136">
        <v>0</v>
      </c>
      <c r="M139" s="138">
        <v>52895</v>
      </c>
      <c r="N139" s="138">
        <v>926942.55</v>
      </c>
      <c r="P139" s="113">
        <v>926942</v>
      </c>
      <c r="R139" s="139">
        <v>-0.55000000004656613</v>
      </c>
      <c r="S139" s="137">
        <v>81185</v>
      </c>
      <c r="T139" s="148">
        <v>0.10239486821161817</v>
      </c>
      <c r="U139" s="146" t="s">
        <v>713</v>
      </c>
      <c r="V139" s="147">
        <v>45139</v>
      </c>
    </row>
    <row r="140" spans="1:22" ht="17.25" hidden="1" customHeight="1">
      <c r="A140" s="143">
        <v>650780190</v>
      </c>
      <c r="B140" s="243">
        <v>650000078</v>
      </c>
      <c r="C140" s="119">
        <v>65</v>
      </c>
      <c r="D140" s="134" t="s">
        <v>714</v>
      </c>
      <c r="E140" s="134" t="s">
        <v>710</v>
      </c>
      <c r="F140" s="135" t="s">
        <v>533</v>
      </c>
      <c r="G140" s="136">
        <v>3130781</v>
      </c>
      <c r="H140" s="136"/>
      <c r="I140" s="137"/>
      <c r="J140" s="136"/>
      <c r="K140" s="137">
        <v>3136051.91</v>
      </c>
      <c r="L140" s="136">
        <v>0</v>
      </c>
      <c r="M140" s="138">
        <v>-536795</v>
      </c>
      <c r="N140" s="138">
        <v>2599256.91</v>
      </c>
      <c r="P140" s="113">
        <v>2599256</v>
      </c>
      <c r="R140" s="139">
        <v>-0.91000000014901161</v>
      </c>
      <c r="S140" s="137">
        <v>5270</v>
      </c>
      <c r="T140" s="140">
        <v>1.6832860554602828E-3</v>
      </c>
    </row>
    <row r="141" spans="1:22" ht="17.25" hidden="1" customHeight="1">
      <c r="A141" s="143">
        <v>650780398</v>
      </c>
      <c r="B141" s="243">
        <v>650780398</v>
      </c>
      <c r="C141" s="119">
        <v>65</v>
      </c>
      <c r="D141" s="134" t="s">
        <v>715</v>
      </c>
      <c r="E141" s="134" t="s">
        <v>710</v>
      </c>
      <c r="F141" s="135" t="s">
        <v>544</v>
      </c>
      <c r="G141" s="136">
        <v>3875236</v>
      </c>
      <c r="H141" s="136"/>
      <c r="I141" s="137"/>
      <c r="J141" s="136"/>
      <c r="K141" s="137">
        <v>3878352.3</v>
      </c>
      <c r="L141" s="136">
        <v>0</v>
      </c>
      <c r="M141" s="138">
        <v>366633</v>
      </c>
      <c r="N141" s="138">
        <v>4244985.3</v>
      </c>
      <c r="P141" s="113">
        <v>4244985</v>
      </c>
      <c r="R141" s="139">
        <v>-0.29999999981373549</v>
      </c>
      <c r="S141" s="137">
        <v>3116</v>
      </c>
      <c r="T141" s="140">
        <v>8.0408006118853144E-4</v>
      </c>
    </row>
    <row r="142" spans="1:22" ht="17.25" hidden="1" customHeight="1">
      <c r="A142" s="143">
        <v>650780679</v>
      </c>
      <c r="B142" s="243">
        <v>650780679</v>
      </c>
      <c r="C142" s="119">
        <v>65</v>
      </c>
      <c r="D142" s="134" t="s">
        <v>716</v>
      </c>
      <c r="E142" s="134" t="s">
        <v>708</v>
      </c>
      <c r="F142" s="135" t="s">
        <v>539</v>
      </c>
      <c r="G142" s="136">
        <v>238305</v>
      </c>
      <c r="H142" s="136">
        <v>0</v>
      </c>
      <c r="I142" s="137">
        <v>219</v>
      </c>
      <c r="J142" s="136">
        <v>238524</v>
      </c>
      <c r="K142" s="137">
        <v>238524</v>
      </c>
      <c r="L142" s="136"/>
      <c r="M142" s="138">
        <v>-153725</v>
      </c>
      <c r="N142" s="138">
        <v>84799</v>
      </c>
      <c r="P142" s="113">
        <v>84799</v>
      </c>
      <c r="R142" s="139">
        <v>0</v>
      </c>
      <c r="S142" s="137">
        <v>219</v>
      </c>
      <c r="T142" s="140">
        <v>9.189903694844842E-4</v>
      </c>
    </row>
    <row r="143" spans="1:22" ht="17.25" hidden="1" customHeight="1">
      <c r="A143" s="143">
        <v>650783160</v>
      </c>
      <c r="B143" s="243">
        <v>650000417</v>
      </c>
      <c r="C143" s="119">
        <v>65</v>
      </c>
      <c r="D143" s="134" t="s">
        <v>717</v>
      </c>
      <c r="E143" s="134" t="s">
        <v>718</v>
      </c>
      <c r="F143" s="135" t="s">
        <v>533</v>
      </c>
      <c r="G143" s="136">
        <v>5035068</v>
      </c>
      <c r="H143" s="136"/>
      <c r="I143" s="137"/>
      <c r="J143" s="136"/>
      <c r="K143" s="137">
        <v>5043749.0599999996</v>
      </c>
      <c r="L143" s="136">
        <v>0</v>
      </c>
      <c r="M143" s="138">
        <v>-919551</v>
      </c>
      <c r="N143" s="138">
        <v>4124198.0599999996</v>
      </c>
      <c r="P143" s="113">
        <v>4124198</v>
      </c>
      <c r="R143" s="139">
        <v>-5.9999999590218067E-2</v>
      </c>
      <c r="S143" s="137">
        <v>8681</v>
      </c>
      <c r="T143" s="140">
        <v>1.7241077975510956E-3</v>
      </c>
    </row>
    <row r="144" spans="1:22" ht="17.25" hidden="1" customHeight="1">
      <c r="A144" s="143">
        <v>660005166</v>
      </c>
      <c r="B144" s="243">
        <v>660005166</v>
      </c>
      <c r="C144" s="119">
        <v>66</v>
      </c>
      <c r="D144" s="134" t="s">
        <v>719</v>
      </c>
      <c r="E144" s="134" t="s">
        <v>555</v>
      </c>
      <c r="F144" s="135" t="s">
        <v>544</v>
      </c>
      <c r="G144" s="136">
        <v>1739163</v>
      </c>
      <c r="H144" s="136">
        <v>326765</v>
      </c>
      <c r="I144" s="137">
        <v>1407</v>
      </c>
      <c r="J144" s="136">
        <v>2067335</v>
      </c>
      <c r="K144" s="137">
        <v>2098884.4900000002</v>
      </c>
      <c r="L144" s="136"/>
      <c r="M144" s="138">
        <v>278896</v>
      </c>
      <c r="N144" s="138">
        <v>2377780.4900000002</v>
      </c>
      <c r="P144" s="113">
        <v>2377780</v>
      </c>
      <c r="R144" s="139">
        <v>-0.49000000022351742</v>
      </c>
      <c r="S144" s="137">
        <v>359721</v>
      </c>
      <c r="T144" s="148">
        <v>0.20683570200148002</v>
      </c>
      <c r="U144" s="146" t="s">
        <v>720</v>
      </c>
      <c r="V144" s="147">
        <v>45200</v>
      </c>
    </row>
    <row r="145" spans="1:22" ht="17.25" hidden="1" customHeight="1">
      <c r="A145" s="143">
        <v>660009689</v>
      </c>
      <c r="B145" s="243">
        <v>660009689</v>
      </c>
      <c r="C145" s="119">
        <v>66</v>
      </c>
      <c r="D145" s="134" t="s">
        <v>721</v>
      </c>
      <c r="E145" s="134" t="s">
        <v>722</v>
      </c>
      <c r="F145" s="135" t="s">
        <v>544</v>
      </c>
      <c r="G145" s="136">
        <v>3438872.93</v>
      </c>
      <c r="H145" s="136"/>
      <c r="I145" s="137"/>
      <c r="J145" s="136"/>
      <c r="K145" s="137">
        <v>3441770.93</v>
      </c>
      <c r="L145" s="136">
        <v>0</v>
      </c>
      <c r="M145" s="138">
        <v>2184631</v>
      </c>
      <c r="N145" s="138">
        <v>5626401.9299999997</v>
      </c>
      <c r="P145" s="113">
        <v>5626401</v>
      </c>
      <c r="R145" s="139">
        <v>-0.92999999970197678</v>
      </c>
      <c r="S145" s="137">
        <v>2897.0699999998324</v>
      </c>
      <c r="T145" s="140">
        <v>8.4244752829521743E-4</v>
      </c>
    </row>
    <row r="146" spans="1:22" ht="17.25" hidden="1" customHeight="1">
      <c r="A146" s="143">
        <v>660010174</v>
      </c>
      <c r="B146" s="243">
        <v>660010174</v>
      </c>
      <c r="C146" s="119">
        <v>66</v>
      </c>
      <c r="D146" s="134" t="s">
        <v>723</v>
      </c>
      <c r="E146" s="134" t="s">
        <v>555</v>
      </c>
      <c r="F146" s="135" t="s">
        <v>544</v>
      </c>
      <c r="G146" s="136">
        <v>6768897</v>
      </c>
      <c r="H146" s="136"/>
      <c r="I146" s="137"/>
      <c r="J146" s="136"/>
      <c r="K146" s="137">
        <v>6774027.3099999996</v>
      </c>
      <c r="L146" s="136"/>
      <c r="M146" s="138">
        <v>-3144093</v>
      </c>
      <c r="N146" s="138">
        <v>3629934.3099999996</v>
      </c>
      <c r="P146" s="113">
        <v>3629934</v>
      </c>
      <c r="R146" s="139">
        <v>-0.30999999959021807</v>
      </c>
      <c r="S146" s="137">
        <v>5130</v>
      </c>
      <c r="T146" s="140">
        <v>7.578782776573495E-4</v>
      </c>
    </row>
    <row r="147" spans="1:22" ht="17.25" hidden="1" customHeight="1">
      <c r="A147" s="143">
        <v>660013087</v>
      </c>
      <c r="B147" s="243">
        <v>660013087</v>
      </c>
      <c r="C147" s="119">
        <v>66</v>
      </c>
      <c r="D147" s="134" t="s">
        <v>724</v>
      </c>
      <c r="E147" s="134" t="s">
        <v>725</v>
      </c>
      <c r="F147" s="135" t="s">
        <v>544</v>
      </c>
      <c r="G147" s="136">
        <v>1137637.76</v>
      </c>
      <c r="H147" s="136"/>
      <c r="I147" s="137"/>
      <c r="J147" s="136"/>
      <c r="K147" s="137">
        <v>1042358.52</v>
      </c>
      <c r="L147" s="158">
        <v>0</v>
      </c>
      <c r="M147" s="138">
        <v>96814</v>
      </c>
      <c r="N147" s="138">
        <v>1139172.52</v>
      </c>
      <c r="P147" s="113">
        <v>1139172</v>
      </c>
      <c r="R147" s="139">
        <v>-0.52000000001862645</v>
      </c>
      <c r="S147" s="159">
        <v>-95279.760000000009</v>
      </c>
      <c r="T147" s="160">
        <v>-8.375228332786705E-2</v>
      </c>
      <c r="U147" s="161" t="s">
        <v>726</v>
      </c>
      <c r="V147" s="130"/>
    </row>
    <row r="148" spans="1:22" ht="17.25" hidden="1" customHeight="1">
      <c r="A148" s="143">
        <v>660780099</v>
      </c>
      <c r="B148" s="243">
        <v>660780099</v>
      </c>
      <c r="C148" s="119">
        <v>66</v>
      </c>
      <c r="D148" s="134" t="s">
        <v>727</v>
      </c>
      <c r="E148" s="134" t="s">
        <v>728</v>
      </c>
      <c r="F148" s="135" t="s">
        <v>539</v>
      </c>
      <c r="G148" s="136">
        <v>1239796</v>
      </c>
      <c r="H148" s="136">
        <v>0</v>
      </c>
      <c r="I148" s="137">
        <v>1057</v>
      </c>
      <c r="J148" s="136">
        <v>1240853</v>
      </c>
      <c r="K148" s="137">
        <v>1253209.33</v>
      </c>
      <c r="L148" s="136"/>
      <c r="M148" s="138">
        <v>44831</v>
      </c>
      <c r="N148" s="138">
        <v>1298040.33</v>
      </c>
      <c r="P148" s="113">
        <v>1298040</v>
      </c>
      <c r="R148" s="139">
        <v>-0.33000000007450581</v>
      </c>
      <c r="S148" s="137">
        <v>13413</v>
      </c>
      <c r="T148" s="140">
        <v>1.081871533703932E-2</v>
      </c>
    </row>
    <row r="149" spans="1:22" ht="17.25" hidden="1" customHeight="1">
      <c r="A149" s="143">
        <v>660780156</v>
      </c>
      <c r="B149" s="243">
        <v>660780156</v>
      </c>
      <c r="C149" s="119">
        <v>66</v>
      </c>
      <c r="D149" s="134" t="s">
        <v>729</v>
      </c>
      <c r="E149" s="134" t="s">
        <v>728</v>
      </c>
      <c r="F149" s="135" t="s">
        <v>544</v>
      </c>
      <c r="G149" s="136">
        <v>3116512.29</v>
      </c>
      <c r="H149" s="136"/>
      <c r="I149" s="137"/>
      <c r="J149" s="136"/>
      <c r="K149" s="137">
        <v>3119054.29</v>
      </c>
      <c r="L149" s="136"/>
      <c r="M149" s="138">
        <v>-1016396</v>
      </c>
      <c r="N149" s="138">
        <v>2102658.29</v>
      </c>
      <c r="P149" s="113">
        <v>2102658</v>
      </c>
      <c r="R149" s="139">
        <v>-0.2900000000372529</v>
      </c>
      <c r="S149" s="137">
        <v>2541.7099999999627</v>
      </c>
      <c r="T149" s="140">
        <v>8.1556232207252504E-4</v>
      </c>
    </row>
    <row r="150" spans="1:22" ht="30" hidden="1">
      <c r="A150" s="143">
        <v>660780180</v>
      </c>
      <c r="B150" s="243">
        <v>660000084</v>
      </c>
      <c r="C150" s="119">
        <v>66</v>
      </c>
      <c r="D150" s="134" t="s">
        <v>730</v>
      </c>
      <c r="E150" s="134" t="s">
        <v>555</v>
      </c>
      <c r="F150" s="135" t="s">
        <v>533</v>
      </c>
      <c r="G150" s="136">
        <v>1995852</v>
      </c>
      <c r="H150" s="136"/>
      <c r="I150" s="137"/>
      <c r="J150" s="136"/>
      <c r="K150" s="137">
        <v>2382975.2400000002</v>
      </c>
      <c r="L150" s="136">
        <v>0</v>
      </c>
      <c r="M150" s="138">
        <v>-22858</v>
      </c>
      <c r="N150" s="138">
        <v>2360117.2400000002</v>
      </c>
      <c r="P150" s="113">
        <v>2614580</v>
      </c>
      <c r="R150" s="139">
        <v>254462.75999999978</v>
      </c>
      <c r="S150" s="137">
        <v>641586</v>
      </c>
      <c r="T150" s="148">
        <v>0.3214597074332165</v>
      </c>
      <c r="U150" s="146" t="s">
        <v>731</v>
      </c>
      <c r="V150" s="147">
        <v>45444</v>
      </c>
    </row>
    <row r="151" spans="1:22" ht="17.25" hidden="1" customHeight="1">
      <c r="A151" s="143">
        <v>660780347</v>
      </c>
      <c r="B151" s="243">
        <v>660780347</v>
      </c>
      <c r="C151" s="119">
        <v>66</v>
      </c>
      <c r="D151" s="134" t="s">
        <v>732</v>
      </c>
      <c r="E151" s="134" t="s">
        <v>722</v>
      </c>
      <c r="F151" s="135" t="s">
        <v>539</v>
      </c>
      <c r="G151" s="136">
        <v>3185552</v>
      </c>
      <c r="H151" s="136">
        <v>0</v>
      </c>
      <c r="I151" s="137">
        <v>2670</v>
      </c>
      <c r="J151" s="136">
        <v>3188222</v>
      </c>
      <c r="K151" s="137">
        <v>3221551.77</v>
      </c>
      <c r="L151" s="136"/>
      <c r="M151" s="138">
        <v>574081</v>
      </c>
      <c r="N151" s="138">
        <v>3795632.77</v>
      </c>
      <c r="P151" s="113">
        <v>3795632</v>
      </c>
      <c r="R151" s="139">
        <v>-0.77000000001862645</v>
      </c>
      <c r="S151" s="137">
        <v>35999</v>
      </c>
      <c r="T151" s="140">
        <v>1.1300710206582722E-2</v>
      </c>
    </row>
    <row r="152" spans="1:22" hidden="1">
      <c r="A152" s="143">
        <v>660780636</v>
      </c>
      <c r="B152" s="243">
        <v>660780636</v>
      </c>
      <c r="C152" s="119">
        <v>66</v>
      </c>
      <c r="D152" s="134" t="s">
        <v>733</v>
      </c>
      <c r="E152" s="134" t="s">
        <v>555</v>
      </c>
      <c r="F152" s="135" t="s">
        <v>539</v>
      </c>
      <c r="G152" s="136">
        <v>4157412</v>
      </c>
      <c r="H152" s="136">
        <v>0</v>
      </c>
      <c r="I152" s="137">
        <v>3477</v>
      </c>
      <c r="J152" s="136">
        <v>4160889</v>
      </c>
      <c r="K152" s="137">
        <v>4208609.8899999997</v>
      </c>
      <c r="L152" s="136"/>
      <c r="M152" s="138">
        <v>251442</v>
      </c>
      <c r="N152" s="138">
        <v>4460051.8899999997</v>
      </c>
      <c r="P152" s="113">
        <v>4460051</v>
      </c>
      <c r="R152" s="139">
        <v>-0.88999999966472387</v>
      </c>
      <c r="S152" s="137">
        <v>51197</v>
      </c>
      <c r="T152" s="140">
        <v>1.231463227604096E-2</v>
      </c>
    </row>
    <row r="153" spans="1:22" ht="17.25" hidden="1" customHeight="1">
      <c r="A153" s="143">
        <v>660780743</v>
      </c>
      <c r="B153" s="243">
        <v>660780743</v>
      </c>
      <c r="C153" s="119">
        <v>66</v>
      </c>
      <c r="D153" s="134" t="s">
        <v>734</v>
      </c>
      <c r="E153" s="134" t="s">
        <v>555</v>
      </c>
      <c r="F153" s="135" t="s">
        <v>539</v>
      </c>
      <c r="G153" s="136">
        <v>4400362</v>
      </c>
      <c r="H153" s="136">
        <v>336648</v>
      </c>
      <c r="I153" s="137">
        <v>3803</v>
      </c>
      <c r="J153" s="136">
        <v>4740813</v>
      </c>
      <c r="K153" s="137">
        <v>4781238.17</v>
      </c>
      <c r="L153" s="136"/>
      <c r="M153" s="138">
        <v>-391784</v>
      </c>
      <c r="N153" s="138">
        <v>4389454.17</v>
      </c>
      <c r="P153" s="113">
        <v>4389454</v>
      </c>
      <c r="R153" s="139">
        <v>-0.16999999992549419</v>
      </c>
      <c r="S153" s="137">
        <v>380876</v>
      </c>
      <c r="T153" s="148">
        <v>8.6555606106952107E-2</v>
      </c>
      <c r="U153" s="146" t="s">
        <v>735</v>
      </c>
      <c r="V153" s="147">
        <v>45078</v>
      </c>
    </row>
    <row r="154" spans="1:22" ht="17.25" hidden="1" customHeight="1">
      <c r="A154" s="143">
        <v>660780800</v>
      </c>
      <c r="B154" s="243">
        <v>660780800</v>
      </c>
      <c r="C154" s="119">
        <v>66</v>
      </c>
      <c r="D154" s="134" t="s">
        <v>736</v>
      </c>
      <c r="E154" s="134" t="s">
        <v>722</v>
      </c>
      <c r="F154" s="135" t="s">
        <v>539</v>
      </c>
      <c r="G154" s="136">
        <v>1709086</v>
      </c>
      <c r="H154" s="136"/>
      <c r="I154" s="137"/>
      <c r="J154" s="136"/>
      <c r="K154" s="137">
        <v>1870781.07</v>
      </c>
      <c r="L154" s="136">
        <v>0</v>
      </c>
      <c r="M154" s="138">
        <v>206791</v>
      </c>
      <c r="N154" s="138">
        <v>2077572.07</v>
      </c>
      <c r="P154" s="113">
        <v>2077572</v>
      </c>
      <c r="R154" s="139">
        <v>-7.000000006519258E-2</v>
      </c>
      <c r="S154" s="137">
        <v>161695</v>
      </c>
      <c r="T154" s="148">
        <v>9.4609048345138863E-2</v>
      </c>
      <c r="U154" s="162" t="s">
        <v>737</v>
      </c>
      <c r="V154" s="147">
        <v>45078</v>
      </c>
    </row>
    <row r="155" spans="1:22" ht="17.25" hidden="1" customHeight="1">
      <c r="A155" s="143">
        <v>660780842</v>
      </c>
      <c r="B155" s="243">
        <v>660780842</v>
      </c>
      <c r="C155" s="119">
        <v>66</v>
      </c>
      <c r="D155" s="134" t="s">
        <v>738</v>
      </c>
      <c r="E155" s="134" t="s">
        <v>722</v>
      </c>
      <c r="F155" s="135" t="s">
        <v>539</v>
      </c>
      <c r="G155" s="136">
        <v>1774140</v>
      </c>
      <c r="H155" s="136">
        <v>0</v>
      </c>
      <c r="I155" s="137">
        <v>1489</v>
      </c>
      <c r="J155" s="136">
        <v>1775629</v>
      </c>
      <c r="K155" s="137">
        <v>1793464</v>
      </c>
      <c r="L155" s="136"/>
      <c r="M155" s="138">
        <v>293202</v>
      </c>
      <c r="N155" s="138">
        <v>2086666</v>
      </c>
      <c r="P155" s="113">
        <v>2086666</v>
      </c>
      <c r="R155" s="139">
        <v>0</v>
      </c>
      <c r="S155" s="137">
        <v>19324</v>
      </c>
      <c r="T155" s="140">
        <v>1.0892037832414578E-2</v>
      </c>
    </row>
    <row r="156" spans="1:22" ht="17.25" hidden="1" customHeight="1">
      <c r="A156" s="143">
        <v>660781097</v>
      </c>
      <c r="B156" s="243">
        <v>660781097</v>
      </c>
      <c r="C156" s="119">
        <v>66</v>
      </c>
      <c r="D156" s="134" t="s">
        <v>739</v>
      </c>
      <c r="E156" s="134" t="s">
        <v>728</v>
      </c>
      <c r="F156" s="135" t="s">
        <v>539</v>
      </c>
      <c r="G156" s="136">
        <v>1079735</v>
      </c>
      <c r="H156" s="136">
        <v>0</v>
      </c>
      <c r="I156" s="137">
        <v>922</v>
      </c>
      <c r="J156" s="136">
        <v>1080657</v>
      </c>
      <c r="K156" s="137">
        <v>1091206.98</v>
      </c>
      <c r="L156" s="136"/>
      <c r="M156" s="138">
        <v>97636</v>
      </c>
      <c r="N156" s="138">
        <v>1188842.98</v>
      </c>
      <c r="P156" s="113">
        <v>1188842</v>
      </c>
      <c r="R156" s="139">
        <v>-0.97999999998137355</v>
      </c>
      <c r="S156" s="137">
        <v>11471</v>
      </c>
      <c r="T156" s="140">
        <v>1.0623903087331613E-2</v>
      </c>
    </row>
    <row r="157" spans="1:22" ht="17.25" hidden="1" customHeight="1">
      <c r="A157" s="143">
        <v>660781287</v>
      </c>
      <c r="B157" s="243">
        <v>660781287</v>
      </c>
      <c r="C157" s="119">
        <v>66</v>
      </c>
      <c r="D157" s="134" t="s">
        <v>740</v>
      </c>
      <c r="E157" s="134" t="s">
        <v>555</v>
      </c>
      <c r="F157" s="135" t="s">
        <v>539</v>
      </c>
      <c r="G157" s="136">
        <v>4494094</v>
      </c>
      <c r="H157" s="136">
        <v>0</v>
      </c>
      <c r="I157" s="137">
        <v>3861</v>
      </c>
      <c r="J157" s="136">
        <v>4497955</v>
      </c>
      <c r="K157" s="137">
        <v>4545897.3</v>
      </c>
      <c r="L157" s="136"/>
      <c r="M157" s="138">
        <v>563827</v>
      </c>
      <c r="N157" s="138">
        <v>5109724.3</v>
      </c>
      <c r="P157" s="113">
        <v>5109724</v>
      </c>
      <c r="R157" s="139">
        <v>-0.29999999981373549</v>
      </c>
      <c r="S157" s="137">
        <v>51803</v>
      </c>
      <c r="T157" s="140">
        <v>1.1526906201783942E-2</v>
      </c>
    </row>
    <row r="158" spans="1:22" ht="17.25" hidden="1" customHeight="1">
      <c r="A158" s="143">
        <v>660790163</v>
      </c>
      <c r="B158" s="243">
        <v>660790163</v>
      </c>
      <c r="C158" s="119">
        <v>66</v>
      </c>
      <c r="D158" s="134" t="s">
        <v>741</v>
      </c>
      <c r="E158" s="134" t="s">
        <v>555</v>
      </c>
      <c r="F158" s="135" t="s">
        <v>539</v>
      </c>
      <c r="G158" s="136">
        <v>6497960</v>
      </c>
      <c r="H158" s="136"/>
      <c r="I158" s="137"/>
      <c r="J158" s="136"/>
      <c r="K158" s="137">
        <v>6503389.04</v>
      </c>
      <c r="L158" s="136">
        <v>0</v>
      </c>
      <c r="M158" s="138">
        <v>-863575</v>
      </c>
      <c r="N158" s="138">
        <v>5639814.04</v>
      </c>
      <c r="P158" s="113">
        <v>5639814</v>
      </c>
      <c r="R158" s="139">
        <v>-4.0000000037252903E-2</v>
      </c>
      <c r="S158" s="137">
        <v>5429</v>
      </c>
      <c r="T158" s="140">
        <v>8.3549298549083094E-4</v>
      </c>
    </row>
    <row r="159" spans="1:22" ht="17.25" hidden="1" customHeight="1">
      <c r="A159" s="143">
        <v>810000158</v>
      </c>
      <c r="B159" s="243">
        <v>810000158</v>
      </c>
      <c r="C159" s="119">
        <v>81</v>
      </c>
      <c r="D159" s="134" t="s">
        <v>742</v>
      </c>
      <c r="E159" s="134" t="s">
        <v>614</v>
      </c>
      <c r="F159" s="135" t="s">
        <v>544</v>
      </c>
      <c r="G159" s="136">
        <v>1205003.53</v>
      </c>
      <c r="H159" s="136"/>
      <c r="I159" s="137"/>
      <c r="J159" s="136"/>
      <c r="K159" s="137">
        <v>1206001.53</v>
      </c>
      <c r="L159" s="136"/>
      <c r="M159" s="138">
        <v>-210209</v>
      </c>
      <c r="N159" s="138">
        <v>995792.53</v>
      </c>
      <c r="P159" s="113">
        <v>995792</v>
      </c>
      <c r="R159" s="139">
        <v>-0.53000000002793968</v>
      </c>
      <c r="S159" s="137">
        <v>997.46999999997206</v>
      </c>
      <c r="T159" s="140">
        <v>8.2777350868007166E-4</v>
      </c>
    </row>
    <row r="160" spans="1:22" ht="17.25" hidden="1" customHeight="1">
      <c r="A160" s="143">
        <v>810000232</v>
      </c>
      <c r="B160" s="243">
        <v>810000232</v>
      </c>
      <c r="C160" s="119">
        <v>81</v>
      </c>
      <c r="D160" s="134" t="s">
        <v>743</v>
      </c>
      <c r="E160" s="134" t="s">
        <v>569</v>
      </c>
      <c r="F160" s="135" t="s">
        <v>544</v>
      </c>
      <c r="G160" s="136">
        <v>4482985.83</v>
      </c>
      <c r="H160" s="136"/>
      <c r="I160" s="137"/>
      <c r="J160" s="136"/>
      <c r="K160" s="137">
        <v>4886348.83</v>
      </c>
      <c r="L160" s="136">
        <v>0</v>
      </c>
      <c r="M160" s="138">
        <v>-1714248</v>
      </c>
      <c r="N160" s="138">
        <v>3172100.83</v>
      </c>
      <c r="P160" s="113">
        <v>3172100</v>
      </c>
      <c r="R160" s="139">
        <v>-0.83000000007450581</v>
      </c>
      <c r="S160" s="137">
        <v>403362.16999999993</v>
      </c>
      <c r="T160" s="148">
        <v>8.9976231310104307E-2</v>
      </c>
      <c r="U160" s="149" t="s">
        <v>744</v>
      </c>
      <c r="V160" s="147">
        <v>45323</v>
      </c>
    </row>
    <row r="161" spans="1:22" ht="17.25" hidden="1" customHeight="1">
      <c r="A161" s="143">
        <v>810000349</v>
      </c>
      <c r="B161" s="243">
        <v>810000513</v>
      </c>
      <c r="C161" s="119">
        <v>81</v>
      </c>
      <c r="D161" s="134" t="s">
        <v>745</v>
      </c>
      <c r="E161" s="134" t="s">
        <v>569</v>
      </c>
      <c r="F161" s="135" t="s">
        <v>533</v>
      </c>
      <c r="G161" s="136">
        <v>1454201.26</v>
      </c>
      <c r="H161" s="136"/>
      <c r="I161" s="137"/>
      <c r="J161" s="136"/>
      <c r="K161" s="137">
        <v>1456450.3</v>
      </c>
      <c r="L161" s="136">
        <v>0</v>
      </c>
      <c r="M161" s="138">
        <v>133674</v>
      </c>
      <c r="N161" s="138">
        <v>1590124.3</v>
      </c>
      <c r="P161" s="113">
        <v>1590124</v>
      </c>
      <c r="R161" s="139">
        <v>-0.30000000004656613</v>
      </c>
      <c r="S161" s="137">
        <v>2248.7399999999907</v>
      </c>
      <c r="T161" s="140">
        <v>1.5463746744381109E-3</v>
      </c>
    </row>
    <row r="162" spans="1:22" ht="17.25" hidden="1" customHeight="1">
      <c r="A162" s="143">
        <v>810000380</v>
      </c>
      <c r="B162" s="243">
        <v>810000521</v>
      </c>
      <c r="C162" s="119">
        <v>81</v>
      </c>
      <c r="D162" s="134" t="s">
        <v>746</v>
      </c>
      <c r="E162" s="134" t="s">
        <v>614</v>
      </c>
      <c r="F162" s="135" t="s">
        <v>533</v>
      </c>
      <c r="G162" s="136">
        <v>4548885</v>
      </c>
      <c r="H162" s="136"/>
      <c r="I162" s="137"/>
      <c r="J162" s="136"/>
      <c r="K162" s="137">
        <v>4556695.26</v>
      </c>
      <c r="L162" s="136">
        <v>0</v>
      </c>
      <c r="M162" s="138">
        <v>196665</v>
      </c>
      <c r="N162" s="138">
        <v>4753360.26</v>
      </c>
      <c r="P162" s="113">
        <v>4753360</v>
      </c>
      <c r="R162" s="139">
        <v>-0.25999999977648258</v>
      </c>
      <c r="S162" s="137">
        <v>7810</v>
      </c>
      <c r="T162" s="140">
        <v>1.7169042523607434E-3</v>
      </c>
    </row>
    <row r="163" spans="1:22" ht="17.25" hidden="1" customHeight="1">
      <c r="A163" s="143">
        <v>810000398</v>
      </c>
      <c r="B163" s="243">
        <v>810000539</v>
      </c>
      <c r="C163" s="119">
        <v>81</v>
      </c>
      <c r="D163" s="134" t="s">
        <v>747</v>
      </c>
      <c r="E163" s="134" t="s">
        <v>748</v>
      </c>
      <c r="F163" s="135" t="s">
        <v>533</v>
      </c>
      <c r="G163" s="136">
        <v>600761</v>
      </c>
      <c r="H163" s="136"/>
      <c r="I163" s="137"/>
      <c r="J163" s="136"/>
      <c r="K163" s="137">
        <v>601672.11</v>
      </c>
      <c r="L163" s="136">
        <v>0</v>
      </c>
      <c r="M163" s="138">
        <v>-301546</v>
      </c>
      <c r="N163" s="138">
        <v>300126.11</v>
      </c>
      <c r="P163" s="113">
        <v>300126</v>
      </c>
      <c r="R163" s="139">
        <v>-0.10999999998603016</v>
      </c>
      <c r="S163" s="137">
        <v>911</v>
      </c>
      <c r="T163" s="140">
        <v>1.51641001995802E-3</v>
      </c>
    </row>
    <row r="164" spans="1:22" ht="17.25" hidden="1" customHeight="1">
      <c r="A164" s="143">
        <v>810000448</v>
      </c>
      <c r="B164" s="243">
        <v>810000448</v>
      </c>
      <c r="C164" s="119">
        <v>81</v>
      </c>
      <c r="D164" s="163" t="s">
        <v>749</v>
      </c>
      <c r="E164" s="134" t="s">
        <v>569</v>
      </c>
      <c r="F164" s="135" t="s">
        <v>544</v>
      </c>
      <c r="G164" s="136">
        <v>2076781.94</v>
      </c>
      <c r="H164" s="136"/>
      <c r="I164" s="137"/>
      <c r="J164" s="136"/>
      <c r="K164" s="137">
        <v>2088946.94</v>
      </c>
      <c r="L164" s="136">
        <v>0</v>
      </c>
      <c r="M164" s="138">
        <v>823075</v>
      </c>
      <c r="N164" s="138">
        <v>2912021.94</v>
      </c>
      <c r="P164" s="113">
        <v>2914832</v>
      </c>
      <c r="R164" s="139">
        <v>2810.0600000000559</v>
      </c>
      <c r="S164" s="137">
        <v>14975.060000000056</v>
      </c>
      <c r="T164" s="140">
        <v>7.2107040761342795E-3</v>
      </c>
      <c r="U164" s="152"/>
    </row>
    <row r="165" spans="1:22" ht="17.25" hidden="1" customHeight="1">
      <c r="A165" s="143">
        <v>810000455</v>
      </c>
      <c r="B165" s="243">
        <v>810000562</v>
      </c>
      <c r="C165" s="119">
        <v>81</v>
      </c>
      <c r="D165" s="134" t="s">
        <v>750</v>
      </c>
      <c r="E165" s="134" t="s">
        <v>748</v>
      </c>
      <c r="F165" s="135" t="s">
        <v>533</v>
      </c>
      <c r="G165" s="136">
        <v>2778655.12</v>
      </c>
      <c r="H165" s="136"/>
      <c r="I165" s="137"/>
      <c r="J165" s="136"/>
      <c r="K165" s="137">
        <v>2783102.7</v>
      </c>
      <c r="L165" s="136">
        <v>0</v>
      </c>
      <c r="M165" s="138">
        <v>364661</v>
      </c>
      <c r="N165" s="138">
        <v>3147763.7</v>
      </c>
      <c r="P165" s="113">
        <v>3147763</v>
      </c>
      <c r="R165" s="139">
        <v>-0.70000000018626451</v>
      </c>
      <c r="S165" s="137">
        <v>4446.8799999998882</v>
      </c>
      <c r="T165" s="140">
        <v>1.6003713335967682E-3</v>
      </c>
    </row>
    <row r="166" spans="1:22" ht="30" hidden="1">
      <c r="A166" s="143">
        <v>810002022</v>
      </c>
      <c r="B166" s="243">
        <v>810002022</v>
      </c>
      <c r="C166" s="119">
        <v>81</v>
      </c>
      <c r="D166" s="164" t="s">
        <v>196</v>
      </c>
      <c r="E166" s="134"/>
      <c r="F166" s="135" t="s">
        <v>544</v>
      </c>
      <c r="G166" s="165">
        <v>0</v>
      </c>
      <c r="H166" s="166"/>
      <c r="I166" s="166"/>
      <c r="J166" s="167"/>
      <c r="K166" s="137">
        <v>215669</v>
      </c>
      <c r="L166" s="167"/>
      <c r="M166" s="138"/>
      <c r="N166" s="138">
        <v>215669</v>
      </c>
      <c r="P166" s="113">
        <v>215669</v>
      </c>
      <c r="R166" s="139">
        <v>0</v>
      </c>
      <c r="S166" s="137">
        <v>215669</v>
      </c>
      <c r="T166" s="168"/>
      <c r="U166" s="146" t="s">
        <v>751</v>
      </c>
      <c r="V166" s="147">
        <v>45352</v>
      </c>
    </row>
    <row r="167" spans="1:22" ht="17.25" hidden="1" customHeight="1">
      <c r="A167" s="143">
        <v>810003954</v>
      </c>
      <c r="B167" s="243">
        <v>810003954</v>
      </c>
      <c r="C167" s="119">
        <v>81</v>
      </c>
      <c r="D167" s="134" t="s">
        <v>752</v>
      </c>
      <c r="E167" s="134" t="s">
        <v>569</v>
      </c>
      <c r="F167" s="135" t="s">
        <v>544</v>
      </c>
      <c r="G167" s="136">
        <v>2783097.59</v>
      </c>
      <c r="H167" s="136"/>
      <c r="I167" s="137"/>
      <c r="J167" s="136"/>
      <c r="K167" s="137">
        <v>2785307.59</v>
      </c>
      <c r="L167" s="136">
        <v>0</v>
      </c>
      <c r="M167" s="138">
        <v>-467851</v>
      </c>
      <c r="N167" s="138">
        <v>2317456.59</v>
      </c>
      <c r="P167" s="113">
        <v>2317456</v>
      </c>
      <c r="R167" s="139">
        <v>-0.58999999985098839</v>
      </c>
      <c r="S167" s="137">
        <v>2209.410000000149</v>
      </c>
      <c r="T167" s="140">
        <v>7.9386723912909898E-4</v>
      </c>
    </row>
    <row r="168" spans="1:22" ht="17.25" hidden="1" customHeight="1">
      <c r="A168" s="143">
        <v>810004200</v>
      </c>
      <c r="B168" s="243">
        <v>810004200</v>
      </c>
      <c r="C168" s="119">
        <v>81</v>
      </c>
      <c r="D168" s="134" t="s">
        <v>753</v>
      </c>
      <c r="E168" s="134" t="s">
        <v>614</v>
      </c>
      <c r="F168" s="135" t="s">
        <v>539</v>
      </c>
      <c r="G168" s="136">
        <v>2130537</v>
      </c>
      <c r="H168" s="136">
        <v>0</v>
      </c>
      <c r="I168" s="137">
        <v>1784</v>
      </c>
      <c r="J168" s="136">
        <v>2132321</v>
      </c>
      <c r="K168" s="137">
        <v>2155540</v>
      </c>
      <c r="L168" s="136"/>
      <c r="M168" s="138">
        <v>271073</v>
      </c>
      <c r="N168" s="138">
        <v>2426613</v>
      </c>
      <c r="P168" s="113">
        <v>2426613</v>
      </c>
      <c r="R168" s="139">
        <v>0</v>
      </c>
      <c r="S168" s="137">
        <v>25003</v>
      </c>
      <c r="T168" s="140">
        <v>1.1735538974446348E-2</v>
      </c>
    </row>
    <row r="169" spans="1:22" ht="17.25" hidden="1" customHeight="1">
      <c r="A169" s="143">
        <v>810101170</v>
      </c>
      <c r="B169" s="243">
        <v>810101170</v>
      </c>
      <c r="C169" s="119">
        <v>81</v>
      </c>
      <c r="D169" s="167" t="s">
        <v>754</v>
      </c>
      <c r="E169" s="134" t="s">
        <v>569</v>
      </c>
      <c r="F169" s="135" t="s">
        <v>539</v>
      </c>
      <c r="G169" s="136">
        <v>2069330</v>
      </c>
      <c r="H169" s="169">
        <v>370237</v>
      </c>
      <c r="I169" s="170">
        <v>1812</v>
      </c>
      <c r="J169" s="169">
        <v>2441379</v>
      </c>
      <c r="K169" s="137">
        <v>2456866.59</v>
      </c>
      <c r="L169" s="169"/>
      <c r="M169" s="138">
        <v>-72878</v>
      </c>
      <c r="N169" s="138">
        <v>2383988.59</v>
      </c>
      <c r="P169" s="113">
        <v>2383988</v>
      </c>
      <c r="R169" s="139">
        <v>-0.58999999985098839</v>
      </c>
      <c r="S169" s="137">
        <v>387536</v>
      </c>
      <c r="T169" s="148">
        <v>0.18727607486481132</v>
      </c>
      <c r="U169" s="162" t="s">
        <v>755</v>
      </c>
      <c r="V169" s="130"/>
    </row>
    <row r="170" spans="1:22" ht="17.25" hidden="1" customHeight="1">
      <c r="A170" s="143">
        <v>820000016</v>
      </c>
      <c r="B170" s="243">
        <v>820000032</v>
      </c>
      <c r="C170" s="119">
        <v>82</v>
      </c>
      <c r="D170" s="134" t="s">
        <v>756</v>
      </c>
      <c r="E170" s="134" t="s">
        <v>610</v>
      </c>
      <c r="F170" s="135" t="s">
        <v>533</v>
      </c>
      <c r="G170" s="136">
        <v>2450744.29</v>
      </c>
      <c r="H170" s="136"/>
      <c r="I170" s="137"/>
      <c r="J170" s="136"/>
      <c r="K170" s="137">
        <v>2454756.4700000002</v>
      </c>
      <c r="L170" s="136">
        <v>0</v>
      </c>
      <c r="M170" s="138">
        <v>-13005</v>
      </c>
      <c r="N170" s="138">
        <v>2441751.4700000002</v>
      </c>
      <c r="P170" s="113">
        <v>2441751</v>
      </c>
      <c r="R170" s="139">
        <v>-0.47000000020489097</v>
      </c>
      <c r="S170" s="137">
        <v>4011.7099999999627</v>
      </c>
      <c r="T170" s="140">
        <v>1.6369353654599203E-3</v>
      </c>
    </row>
    <row r="171" spans="1:22" ht="17.25" hidden="1" customHeight="1">
      <c r="A171" s="143">
        <v>820000057</v>
      </c>
      <c r="B171" s="243">
        <v>820000057</v>
      </c>
      <c r="C171" s="119">
        <v>82</v>
      </c>
      <c r="D171" s="134" t="s">
        <v>757</v>
      </c>
      <c r="E171" s="134" t="s">
        <v>610</v>
      </c>
      <c r="F171" s="135" t="s">
        <v>539</v>
      </c>
      <c r="G171" s="165">
        <v>0</v>
      </c>
      <c r="H171" s="136">
        <v>51095</v>
      </c>
      <c r="I171" s="137"/>
      <c r="J171" s="136">
        <v>51095</v>
      </c>
      <c r="K171" s="137">
        <v>51095</v>
      </c>
      <c r="L171" s="136"/>
      <c r="M171" s="138">
        <v>0</v>
      </c>
      <c r="N171" s="138">
        <v>51095</v>
      </c>
      <c r="P171" s="113">
        <v>51095</v>
      </c>
      <c r="R171" s="139">
        <v>0</v>
      </c>
      <c r="S171" s="137">
        <v>51095</v>
      </c>
      <c r="T171" s="168"/>
      <c r="U171" s="152" t="s">
        <v>661</v>
      </c>
      <c r="V171" s="130"/>
    </row>
    <row r="172" spans="1:22" ht="17.25" hidden="1" customHeight="1">
      <c r="A172" s="143">
        <v>820000206</v>
      </c>
      <c r="B172" s="243">
        <v>820000420</v>
      </c>
      <c r="C172" s="119">
        <v>82</v>
      </c>
      <c r="D172" s="134" t="s">
        <v>758</v>
      </c>
      <c r="E172" s="134" t="s">
        <v>610</v>
      </c>
      <c r="F172" s="135" t="s">
        <v>533</v>
      </c>
      <c r="G172" s="136">
        <v>1242260</v>
      </c>
      <c r="H172" s="136"/>
      <c r="I172" s="137"/>
      <c r="J172" s="136"/>
      <c r="K172" s="137">
        <v>1244510.3</v>
      </c>
      <c r="L172" s="136">
        <v>0</v>
      </c>
      <c r="M172" s="138">
        <v>1269162</v>
      </c>
      <c r="N172" s="138">
        <v>2513672.2999999998</v>
      </c>
      <c r="P172" s="113">
        <v>2513672</v>
      </c>
      <c r="R172" s="139">
        <v>-0.29999999981373549</v>
      </c>
      <c r="S172" s="137">
        <v>2250</v>
      </c>
      <c r="T172" s="140">
        <v>1.8112150435496595E-3</v>
      </c>
    </row>
    <row r="173" spans="1:22" ht="17.25" hidden="1" customHeight="1">
      <c r="A173" s="143">
        <v>820000248</v>
      </c>
      <c r="B173" s="243">
        <v>820000461</v>
      </c>
      <c r="C173" s="119">
        <v>82</v>
      </c>
      <c r="D173" s="134" t="s">
        <v>759</v>
      </c>
      <c r="E173" s="134" t="s">
        <v>760</v>
      </c>
      <c r="F173" s="135" t="s">
        <v>533</v>
      </c>
      <c r="G173" s="136">
        <v>1464848</v>
      </c>
      <c r="H173" s="136"/>
      <c r="I173" s="137"/>
      <c r="J173" s="136"/>
      <c r="K173" s="137">
        <v>1467887.24</v>
      </c>
      <c r="L173" s="136">
        <v>0</v>
      </c>
      <c r="M173" s="138">
        <v>-189949</v>
      </c>
      <c r="N173" s="138">
        <v>1277938.24</v>
      </c>
      <c r="P173" s="113">
        <v>1277938</v>
      </c>
      <c r="R173" s="139">
        <v>-0.23999999999068677</v>
      </c>
      <c r="S173" s="137">
        <v>3039</v>
      </c>
      <c r="T173" s="140">
        <v>2.0746179808416982E-3</v>
      </c>
    </row>
    <row r="174" spans="1:22" ht="17.25" hidden="1" customHeight="1">
      <c r="A174" s="143">
        <v>820000412</v>
      </c>
      <c r="B174" s="243">
        <v>820000412</v>
      </c>
      <c r="C174" s="119">
        <v>82</v>
      </c>
      <c r="D174" s="134" t="s">
        <v>761</v>
      </c>
      <c r="E174" s="134" t="s">
        <v>610</v>
      </c>
      <c r="F174" s="135" t="s">
        <v>539</v>
      </c>
      <c r="G174" s="136">
        <v>958745.55</v>
      </c>
      <c r="H174" s="134"/>
      <c r="I174" s="171"/>
      <c r="J174" s="134"/>
      <c r="K174" s="137">
        <v>959564.55</v>
      </c>
      <c r="L174" s="172">
        <v>0</v>
      </c>
      <c r="M174" s="138">
        <v>-269610</v>
      </c>
      <c r="N174" s="138">
        <v>689954.55</v>
      </c>
      <c r="P174" s="113">
        <v>689954</v>
      </c>
      <c r="R174" s="139">
        <v>-0.55000000004656613</v>
      </c>
      <c r="S174" s="137">
        <v>818.44999999995343</v>
      </c>
      <c r="T174" s="140">
        <v>8.5366758677519116E-4</v>
      </c>
    </row>
    <row r="175" spans="1:22" ht="17.25" hidden="1" customHeight="1">
      <c r="A175" s="143">
        <v>820002350</v>
      </c>
      <c r="B175" s="243">
        <v>820002350</v>
      </c>
      <c r="C175" s="119">
        <v>82</v>
      </c>
      <c r="D175" s="163" t="s">
        <v>762</v>
      </c>
      <c r="E175" s="134" t="s">
        <v>610</v>
      </c>
      <c r="F175" s="135" t="s">
        <v>539</v>
      </c>
      <c r="G175" s="136">
        <v>2546818</v>
      </c>
      <c r="H175" s="136">
        <v>0</v>
      </c>
      <c r="I175" s="137">
        <v>2149</v>
      </c>
      <c r="J175" s="136">
        <v>2548967</v>
      </c>
      <c r="K175" s="137">
        <v>2573894</v>
      </c>
      <c r="L175" s="136"/>
      <c r="M175" s="138">
        <v>-310098</v>
      </c>
      <c r="N175" s="138">
        <v>2263796</v>
      </c>
      <c r="P175" s="113">
        <v>2263796</v>
      </c>
      <c r="R175" s="139">
        <v>0</v>
      </c>
      <c r="S175" s="137">
        <v>27076</v>
      </c>
      <c r="T175" s="140">
        <v>1.0631305417191178E-2</v>
      </c>
    </row>
    <row r="176" spans="1:22" ht="17.25" hidden="1" customHeight="1">
      <c r="A176" s="143">
        <v>820003218</v>
      </c>
      <c r="B176" s="243">
        <v>820003218</v>
      </c>
      <c r="C176" s="119">
        <v>82</v>
      </c>
      <c r="D176" s="134" t="s">
        <v>763</v>
      </c>
      <c r="E176" s="134" t="s">
        <v>610</v>
      </c>
      <c r="F176" s="135" t="s">
        <v>539</v>
      </c>
      <c r="G176" s="136">
        <v>2694831</v>
      </c>
      <c r="H176" s="136">
        <v>0</v>
      </c>
      <c r="I176" s="137">
        <v>2298</v>
      </c>
      <c r="J176" s="136">
        <v>2697129</v>
      </c>
      <c r="K176" s="137">
        <v>2723992.43</v>
      </c>
      <c r="L176" s="136"/>
      <c r="M176" s="138">
        <v>-49879</v>
      </c>
      <c r="N176" s="138">
        <v>2674113.4300000002</v>
      </c>
      <c r="P176" s="113">
        <v>2674113</v>
      </c>
      <c r="R176" s="139">
        <v>-0.43000000016763806</v>
      </c>
      <c r="S176" s="137">
        <v>29161</v>
      </c>
      <c r="T176" s="140">
        <v>1.082108673976216E-2</v>
      </c>
    </row>
    <row r="177" spans="1:22" ht="17.25" hidden="1" customHeight="1">
      <c r="A177" s="143">
        <v>820004950</v>
      </c>
      <c r="B177" s="243">
        <v>820000883</v>
      </c>
      <c r="C177" s="119">
        <v>82</v>
      </c>
      <c r="D177" s="134" t="s">
        <v>764</v>
      </c>
      <c r="E177" s="134" t="s">
        <v>765</v>
      </c>
      <c r="F177" s="135" t="s">
        <v>533</v>
      </c>
      <c r="G177" s="136">
        <v>1603833</v>
      </c>
      <c r="H177" s="136"/>
      <c r="I177" s="137"/>
      <c r="J177" s="136"/>
      <c r="K177" s="137">
        <v>1607251.74</v>
      </c>
      <c r="L177" s="136">
        <v>0</v>
      </c>
      <c r="M177" s="138">
        <v>-151421</v>
      </c>
      <c r="N177" s="138">
        <v>1455830.74</v>
      </c>
      <c r="P177" s="113">
        <v>1455830</v>
      </c>
      <c r="R177" s="139">
        <v>-0.73999999999068677</v>
      </c>
      <c r="S177" s="137">
        <v>3418</v>
      </c>
      <c r="T177" s="140">
        <v>2.1311445767732673E-3</v>
      </c>
    </row>
    <row r="178" spans="1:22" ht="17.25" hidden="1" customHeight="1">
      <c r="A178" s="143">
        <v>820010866</v>
      </c>
      <c r="B178" s="243">
        <v>820010866</v>
      </c>
      <c r="C178" s="119">
        <v>82</v>
      </c>
      <c r="D178" s="134" t="s">
        <v>766</v>
      </c>
      <c r="E178" s="134" t="s">
        <v>610</v>
      </c>
      <c r="F178" s="135" t="s">
        <v>539</v>
      </c>
      <c r="G178" s="165">
        <v>0</v>
      </c>
      <c r="H178" s="144">
        <v>242944</v>
      </c>
      <c r="I178" s="173"/>
      <c r="J178" s="144">
        <v>242944</v>
      </c>
      <c r="K178" s="174">
        <v>242944</v>
      </c>
      <c r="L178" s="144"/>
      <c r="M178" s="138">
        <v>0</v>
      </c>
      <c r="N178" s="138">
        <v>242944</v>
      </c>
      <c r="P178" s="113">
        <v>242944</v>
      </c>
      <c r="R178" s="139">
        <v>0</v>
      </c>
      <c r="S178" s="137">
        <v>242944</v>
      </c>
      <c r="T178" s="168"/>
      <c r="U178" s="152" t="s">
        <v>661</v>
      </c>
      <c r="V178" s="130"/>
    </row>
    <row r="179" spans="1:22" hidden="1">
      <c r="B179" s="245"/>
      <c r="C179" s="166"/>
      <c r="D179" s="166"/>
      <c r="E179" s="166"/>
      <c r="F179" s="166" t="s">
        <v>767</v>
      </c>
      <c r="G179" s="166"/>
      <c r="H179" s="166"/>
      <c r="I179" s="166"/>
      <c r="J179" s="166"/>
      <c r="K179" s="175">
        <v>149122284.32000002</v>
      </c>
      <c r="L179" s="176"/>
      <c r="M179" s="176"/>
      <c r="N179" s="176"/>
      <c r="P179" s="177"/>
      <c r="V179" s="130"/>
    </row>
    <row r="180" spans="1:22" hidden="1">
      <c r="B180" s="245"/>
      <c r="C180" s="166"/>
      <c r="D180" s="166"/>
      <c r="E180" s="166"/>
      <c r="F180" s="166" t="s">
        <v>768</v>
      </c>
      <c r="G180" s="166"/>
      <c r="H180" s="166"/>
      <c r="I180" s="166"/>
      <c r="J180" s="166"/>
      <c r="K180" s="175">
        <v>77389744.220000014</v>
      </c>
      <c r="L180" s="176"/>
      <c r="M180" s="176"/>
      <c r="N180" s="178" t="s">
        <v>769</v>
      </c>
      <c r="P180" s="115">
        <v>408666612</v>
      </c>
      <c r="V180" s="130"/>
    </row>
    <row r="181" spans="1:22" hidden="1">
      <c r="B181" s="245"/>
      <c r="C181" s="166"/>
      <c r="D181" s="166"/>
      <c r="E181" s="166"/>
      <c r="F181" s="166" t="s">
        <v>770</v>
      </c>
      <c r="G181" s="166"/>
      <c r="H181" s="166"/>
      <c r="I181" s="166"/>
      <c r="J181" s="166"/>
      <c r="K181" s="175">
        <v>160090081.73000002</v>
      </c>
      <c r="L181" s="166"/>
      <c r="M181" s="179"/>
      <c r="N181" s="178" t="s">
        <v>771</v>
      </c>
      <c r="P181" s="115">
        <v>413209727</v>
      </c>
      <c r="V181" s="130"/>
    </row>
    <row r="182" spans="1:22" hidden="1">
      <c r="B182" s="245"/>
      <c r="C182" s="166"/>
      <c r="D182" s="166"/>
      <c r="E182" s="166"/>
      <c r="F182" s="166"/>
      <c r="G182" s="166"/>
      <c r="H182" s="166"/>
      <c r="I182" s="166"/>
      <c r="J182" s="166"/>
      <c r="L182" s="166"/>
      <c r="M182" s="179"/>
      <c r="N182" s="180" t="s">
        <v>772</v>
      </c>
      <c r="P182" s="115">
        <v>4543115</v>
      </c>
      <c r="V182" s="130"/>
    </row>
    <row r="183" spans="1:22">
      <c r="P183" s="115"/>
    </row>
    <row r="184" spans="1:22">
      <c r="N184" s="180" t="s">
        <v>773</v>
      </c>
      <c r="P184" s="115">
        <v>4879598</v>
      </c>
      <c r="V184" s="130"/>
    </row>
    <row r="185" spans="1:22">
      <c r="N185" s="180" t="s">
        <v>774</v>
      </c>
      <c r="P185" s="115">
        <v>1041478</v>
      </c>
      <c r="V185" s="130"/>
    </row>
    <row r="186" spans="1:22">
      <c r="N186" s="180" t="s">
        <v>775</v>
      </c>
      <c r="P186" s="115">
        <v>-1683893</v>
      </c>
      <c r="V186" s="130"/>
    </row>
    <row r="187" spans="1:22">
      <c r="N187" s="180" t="s">
        <v>228</v>
      </c>
      <c r="P187" s="115">
        <v>4237183</v>
      </c>
      <c r="V187" s="130"/>
    </row>
    <row r="189" spans="1:22">
      <c r="P189" s="181">
        <v>305932</v>
      </c>
    </row>
  </sheetData>
  <autoFilter ref="A9:N182" xr:uid="{3C236ED0-3ADF-42C9-9AFC-0D6259E7F211}">
    <filterColumn colId="3">
      <filters>
        <filter val="CHS LEYME / NOTRE DAME BRETENOUX"/>
      </filters>
    </filterColumn>
  </autoFilter>
  <mergeCells count="3">
    <mergeCell ref="P4:P7"/>
    <mergeCell ref="K7:N7"/>
    <mergeCell ref="S7:T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4631C-8A89-4CA9-B8C1-08051F1C9273}">
  <dimension ref="A1:V215"/>
  <sheetViews>
    <sheetView workbookViewId="0">
      <pane xSplit="3" ySplit="10" topLeftCell="I195" activePane="bottomRight" state="frozen"/>
      <selection pane="topRight" activeCell="D1" sqref="D1"/>
      <selection pane="bottomLeft" activeCell="A12" sqref="A12"/>
      <selection pane="bottomRight" activeCell="U211" sqref="U211"/>
    </sheetView>
  </sheetViews>
  <sheetFormatPr baseColWidth="10" defaultRowHeight="15"/>
  <cols>
    <col min="2" max="2" width="11.5703125" customWidth="1"/>
    <col min="3" max="3" width="43.28515625" customWidth="1"/>
    <col min="4" max="4" width="6.85546875" customWidth="1"/>
    <col min="5" max="12" width="11.5703125" customWidth="1"/>
    <col min="13" max="13" width="6.5703125" customWidth="1"/>
    <col min="14" max="14" width="14.28515625" customWidth="1"/>
    <col min="15" max="15" width="11.5703125" customWidth="1"/>
    <col min="16" max="17" width="11" customWidth="1"/>
    <col min="18" max="18" width="8.7109375" customWidth="1"/>
    <col min="19" max="20" width="11" customWidth="1"/>
    <col min="21" max="21" width="10.7109375" customWidth="1"/>
  </cols>
  <sheetData>
    <row r="1" spans="1:21">
      <c r="A1" s="208" t="s">
        <v>777</v>
      </c>
    </row>
    <row r="2" spans="1:21">
      <c r="A2" s="208" t="s">
        <v>778</v>
      </c>
    </row>
    <row r="3" spans="1:21">
      <c r="A3" s="208" t="s">
        <v>779</v>
      </c>
    </row>
    <row r="4" spans="1:21">
      <c r="A4" s="208" t="s">
        <v>780</v>
      </c>
    </row>
    <row r="5" spans="1:21">
      <c r="A5" s="208" t="s">
        <v>781</v>
      </c>
    </row>
    <row r="6" spans="1:21">
      <c r="A6" s="156" t="s">
        <v>782</v>
      </c>
    </row>
    <row r="7" spans="1:21">
      <c r="A7" s="130"/>
    </row>
    <row r="8" spans="1:21">
      <c r="A8" s="130"/>
      <c r="C8" s="200" t="s">
        <v>1500</v>
      </c>
      <c r="D8" s="279" t="s">
        <v>1534</v>
      </c>
      <c r="E8" s="279"/>
      <c r="F8" s="279"/>
      <c r="G8" s="279"/>
      <c r="H8" s="279"/>
      <c r="I8" s="279"/>
      <c r="J8" s="279"/>
      <c r="K8" s="279"/>
      <c r="L8" s="279"/>
      <c r="N8" s="196">
        <v>2</v>
      </c>
      <c r="O8" s="224"/>
      <c r="P8" s="279" t="s">
        <v>1535</v>
      </c>
      <c r="Q8" s="279"/>
      <c r="R8" s="279"/>
      <c r="S8" s="279"/>
      <c r="T8" s="279"/>
      <c r="U8" s="279"/>
    </row>
    <row r="9" spans="1:21" ht="35.450000000000003" customHeight="1">
      <c r="E9" s="184" t="s">
        <v>783</v>
      </c>
      <c r="F9" s="184" t="s">
        <v>783</v>
      </c>
      <c r="G9" s="184" t="s">
        <v>783</v>
      </c>
      <c r="N9" s="130" t="s">
        <v>1493</v>
      </c>
      <c r="P9" s="278" t="s">
        <v>1496</v>
      </c>
      <c r="Q9" s="278"/>
      <c r="R9" s="278"/>
      <c r="S9" s="278" t="s">
        <v>1498</v>
      </c>
      <c r="T9" s="278"/>
      <c r="U9" s="278"/>
    </row>
    <row r="10" spans="1:21" ht="60">
      <c r="A10" s="188" t="s">
        <v>1</v>
      </c>
      <c r="B10" s="188" t="s">
        <v>3</v>
      </c>
      <c r="C10" s="188" t="s">
        <v>4</v>
      </c>
      <c r="D10" s="188" t="s">
        <v>5</v>
      </c>
      <c r="E10" s="184" t="s">
        <v>784</v>
      </c>
      <c r="F10" s="184" t="s">
        <v>785</v>
      </c>
      <c r="G10" s="184" t="s">
        <v>786</v>
      </c>
      <c r="H10" s="188" t="s">
        <v>9</v>
      </c>
      <c r="I10" s="188" t="s">
        <v>10</v>
      </c>
      <c r="J10" s="188" t="s">
        <v>11</v>
      </c>
      <c r="K10" s="188" t="s">
        <v>12</v>
      </c>
      <c r="L10" s="188" t="s">
        <v>13</v>
      </c>
      <c r="N10" s="188" t="s">
        <v>1490</v>
      </c>
      <c r="P10" s="188" t="s">
        <v>1497</v>
      </c>
      <c r="Q10" s="188" t="s">
        <v>1499</v>
      </c>
      <c r="R10" s="184" t="s">
        <v>1492</v>
      </c>
      <c r="S10" s="188" t="s">
        <v>1497</v>
      </c>
      <c r="T10" s="188" t="s">
        <v>1499</v>
      </c>
      <c r="U10" s="184" t="s">
        <v>1492</v>
      </c>
    </row>
    <row r="11" spans="1:21">
      <c r="A11" s="183" t="s">
        <v>22</v>
      </c>
      <c r="B11" s="183">
        <v>90180019</v>
      </c>
      <c r="C11" s="183" t="s">
        <v>24</v>
      </c>
      <c r="D11" s="183" t="s">
        <v>25</v>
      </c>
      <c r="E11" s="185">
        <v>13267</v>
      </c>
      <c r="F11" s="185">
        <v>12089</v>
      </c>
      <c r="G11" s="185">
        <v>1178</v>
      </c>
      <c r="H11" s="183" t="s">
        <v>787</v>
      </c>
      <c r="I11" s="183" t="s">
        <v>788</v>
      </c>
      <c r="J11" s="183" t="s">
        <v>789</v>
      </c>
      <c r="K11" s="183" t="s">
        <v>790</v>
      </c>
      <c r="L11" s="183" t="s">
        <v>791</v>
      </c>
      <c r="N11" s="185">
        <f>+VLOOKUP(B11,dotpop24!$A$10:$L$178,11,)</f>
        <v>2039088.43</v>
      </c>
      <c r="P11">
        <f>+VLOOKUP($B11,'SAE23'!$G$3:$L$181,4,0)</f>
        <v>50</v>
      </c>
      <c r="Q11">
        <f>+VLOOKUP($B11,basev2!$C$5:$Q$173,14,0)</f>
        <v>50</v>
      </c>
      <c r="R11">
        <f>+P11-Q11</f>
        <v>0</v>
      </c>
      <c r="S11">
        <f>+VLOOKUP($B11,'SAE23'!$G$3:$L$181,6,0)</f>
        <v>8</v>
      </c>
      <c r="T11">
        <f>+VLOOKUP($B11,basev2!$C$5:$Q$173,15,0)</f>
        <v>8</v>
      </c>
      <c r="U11">
        <f>+S11-T11</f>
        <v>0</v>
      </c>
    </row>
    <row r="12" spans="1:21">
      <c r="A12" s="183" t="s">
        <v>22</v>
      </c>
      <c r="B12" s="183">
        <v>90781774</v>
      </c>
      <c r="C12" s="183" t="s">
        <v>27</v>
      </c>
      <c r="D12" s="183" t="s">
        <v>25</v>
      </c>
      <c r="E12" s="185">
        <v>27180</v>
      </c>
      <c r="F12" s="185">
        <v>27180</v>
      </c>
      <c r="G12" s="183">
        <v>0</v>
      </c>
      <c r="H12" s="183" t="s">
        <v>792</v>
      </c>
      <c r="I12" s="183" t="s">
        <v>793</v>
      </c>
      <c r="J12" s="183" t="s">
        <v>794</v>
      </c>
      <c r="K12" s="183" t="s">
        <v>795</v>
      </c>
      <c r="L12" s="183" t="s">
        <v>796</v>
      </c>
      <c r="N12" s="185">
        <f>+VLOOKUP(B12,dotpop24!$A$10:$L$178,11,)</f>
        <v>4810767.4400000004</v>
      </c>
      <c r="P12">
        <f>53+26</f>
        <v>79</v>
      </c>
      <c r="Q12">
        <f>+VLOOKUP($B12,basev2!$C$5:$Q$173,14,0)</f>
        <v>79</v>
      </c>
      <c r="R12">
        <f t="shared" ref="R12:R74" si="0">+P12-Q12</f>
        <v>0</v>
      </c>
      <c r="S12">
        <f>+VLOOKUP($B12,'SAE23'!$G$3:$L$181,6,0)</f>
        <v>0</v>
      </c>
      <c r="T12">
        <f>+VLOOKUP($B12,basev2!$C$5:$Q$173,15,0)</f>
        <v>0</v>
      </c>
      <c r="U12">
        <f t="shared" ref="U12:U75" si="1">+S12-T12</f>
        <v>0</v>
      </c>
    </row>
    <row r="13" spans="1:21">
      <c r="A13" s="183" t="s">
        <v>22</v>
      </c>
      <c r="B13" s="183">
        <v>90781816</v>
      </c>
      <c r="C13" s="183" t="s">
        <v>29</v>
      </c>
      <c r="D13" s="183" t="s">
        <v>25</v>
      </c>
      <c r="E13" s="185">
        <v>19342</v>
      </c>
      <c r="F13" s="185">
        <v>19342</v>
      </c>
      <c r="G13" s="183">
        <v>0</v>
      </c>
      <c r="H13" s="183" t="s">
        <v>797</v>
      </c>
      <c r="I13" s="183" t="s">
        <v>798</v>
      </c>
      <c r="J13" s="183" t="s">
        <v>799</v>
      </c>
      <c r="K13" s="183" t="s">
        <v>800</v>
      </c>
      <c r="L13" s="183" t="s">
        <v>801</v>
      </c>
      <c r="N13" s="185">
        <f>+VLOOKUP(B13,dotpop24!$A$10:$L$178,11,)</f>
        <v>3334359.65</v>
      </c>
      <c r="P13">
        <f>+VLOOKUP($B13,'SAE23'!$G$3:$L$181,4,0)</f>
        <v>57</v>
      </c>
      <c r="Q13">
        <f>+VLOOKUP($B13,basev2!$C$5:$Q$173,14,0)</f>
        <v>57</v>
      </c>
      <c r="R13">
        <f t="shared" si="0"/>
        <v>0</v>
      </c>
      <c r="S13">
        <f>+VLOOKUP($B13,'SAE23'!$G$3:$L$181,6,0)</f>
        <v>0</v>
      </c>
      <c r="T13">
        <f>+VLOOKUP($B13,basev2!$C$5:$Q$173,15,0)</f>
        <v>0</v>
      </c>
      <c r="U13">
        <f t="shared" si="1"/>
        <v>0</v>
      </c>
    </row>
    <row r="14" spans="1:21">
      <c r="A14" s="183" t="s">
        <v>30</v>
      </c>
      <c r="B14" s="183">
        <v>110003118</v>
      </c>
      <c r="C14" s="183" t="s">
        <v>31</v>
      </c>
      <c r="D14" s="183" t="s">
        <v>25</v>
      </c>
      <c r="E14" s="185">
        <v>44024</v>
      </c>
      <c r="F14" s="185">
        <v>25272</v>
      </c>
      <c r="G14" s="185">
        <v>18752</v>
      </c>
      <c r="H14" s="183" t="s">
        <v>802</v>
      </c>
      <c r="I14" s="183" t="s">
        <v>803</v>
      </c>
      <c r="J14" s="183" t="s">
        <v>804</v>
      </c>
      <c r="K14" s="183" t="s">
        <v>805</v>
      </c>
      <c r="L14" s="183" t="s">
        <v>806</v>
      </c>
      <c r="N14" s="185">
        <f>+VLOOKUP(B14,dotpop24!$A$10:$L$178,11,)</f>
        <v>3172789.78</v>
      </c>
      <c r="P14">
        <f>+VLOOKUP($B14,'SAE23'!$D$3:$L$181,7,0)</f>
        <v>74</v>
      </c>
      <c r="Q14">
        <f>+VLOOKUP($B14,basev2!$C$5:$Q$173,14,0)</f>
        <v>74</v>
      </c>
      <c r="R14">
        <f t="shared" si="0"/>
        <v>0</v>
      </c>
      <c r="S14">
        <f>+VLOOKUP($B14,'SAE23'!$D$3:$L$181,9,0)</f>
        <v>50</v>
      </c>
      <c r="T14">
        <f>+VLOOKUP($B14,basev2!$C$5:$Q$173,15,0)</f>
        <v>50</v>
      </c>
      <c r="U14">
        <f t="shared" si="1"/>
        <v>0</v>
      </c>
    </row>
    <row r="15" spans="1:21">
      <c r="A15" s="183" t="s">
        <v>30</v>
      </c>
      <c r="B15" s="183">
        <v>110004942</v>
      </c>
      <c r="C15" s="183" t="s">
        <v>32</v>
      </c>
      <c r="D15" s="183" t="s">
        <v>25</v>
      </c>
      <c r="E15" s="185">
        <v>33163</v>
      </c>
      <c r="F15" s="185">
        <v>27134</v>
      </c>
      <c r="G15" s="185">
        <v>6029</v>
      </c>
      <c r="H15" s="183" t="s">
        <v>807</v>
      </c>
      <c r="I15" s="183" t="s">
        <v>808</v>
      </c>
      <c r="J15" s="183" t="s">
        <v>809</v>
      </c>
      <c r="K15" s="183" t="s">
        <v>810</v>
      </c>
      <c r="L15" s="183" t="s">
        <v>811</v>
      </c>
      <c r="N15" s="185">
        <f>+VLOOKUP(B15,dotpop24!$A$10:$L$178,11,)</f>
        <v>2116295.23</v>
      </c>
      <c r="P15">
        <f>+VLOOKUP($B15,'SAE23'!$D$3:$L$181,7,0)</f>
        <v>77</v>
      </c>
      <c r="Q15">
        <f>+VLOOKUP($B15,basev2!$C$5:$Q$173,14,0)</f>
        <v>77</v>
      </c>
      <c r="R15">
        <f t="shared" si="0"/>
        <v>0</v>
      </c>
      <c r="S15">
        <f>+VLOOKUP($B15,'SAE23'!$D$3:$L$181,9,0)</f>
        <v>3</v>
      </c>
      <c r="T15">
        <f>+VLOOKUP($B15,basev2!$C$5:$Q$173,15,0)</f>
        <v>3</v>
      </c>
      <c r="U15">
        <f t="shared" si="1"/>
        <v>0</v>
      </c>
    </row>
    <row r="16" spans="1:21">
      <c r="A16" s="183" t="s">
        <v>33</v>
      </c>
      <c r="B16" s="183">
        <v>110007630</v>
      </c>
      <c r="C16" s="183" t="s">
        <v>35</v>
      </c>
      <c r="D16" s="183" t="s">
        <v>25</v>
      </c>
      <c r="E16" s="185">
        <v>15354</v>
      </c>
      <c r="F16" s="185">
        <v>12222</v>
      </c>
      <c r="G16" s="185">
        <v>3132</v>
      </c>
      <c r="H16" s="183" t="s">
        <v>812</v>
      </c>
      <c r="I16" s="183" t="s">
        <v>813</v>
      </c>
      <c r="J16" s="183" t="s">
        <v>814</v>
      </c>
      <c r="K16" s="183" t="s">
        <v>795</v>
      </c>
      <c r="L16" s="183" t="s">
        <v>815</v>
      </c>
      <c r="N16" s="185">
        <f>+VLOOKUP(B16,dotpop24!$A$10:$L$178,11,)</f>
        <v>1330037.02</v>
      </c>
      <c r="P16">
        <f>+VLOOKUP($B16,'SAE23'!$D$3:$L$181,7,0)</f>
        <v>40</v>
      </c>
      <c r="Q16">
        <f>+VLOOKUP($B16,basev2!$C$5:$Q$173,14,0)</f>
        <v>40</v>
      </c>
      <c r="R16">
        <f t="shared" si="0"/>
        <v>0</v>
      </c>
      <c r="S16">
        <f>+VLOOKUP($B16,'SAE23'!$D$3:$L$181,9,0)</f>
        <v>10</v>
      </c>
      <c r="T16">
        <f>+VLOOKUP($B16,basev2!$C$5:$Q$173,15,0)</f>
        <v>10</v>
      </c>
      <c r="U16">
        <f t="shared" si="1"/>
        <v>0</v>
      </c>
    </row>
    <row r="17" spans="1:21">
      <c r="A17" s="183" t="s">
        <v>22</v>
      </c>
      <c r="B17" s="183">
        <v>110780087</v>
      </c>
      <c r="C17" s="183" t="s">
        <v>36</v>
      </c>
      <c r="D17" s="183" t="s">
        <v>25</v>
      </c>
      <c r="E17" s="185">
        <v>7443</v>
      </c>
      <c r="F17" s="185">
        <v>7443</v>
      </c>
      <c r="G17" s="183">
        <v>0</v>
      </c>
      <c r="H17" s="183" t="s">
        <v>816</v>
      </c>
      <c r="I17" s="183" t="s">
        <v>817</v>
      </c>
      <c r="J17" s="183" t="s">
        <v>818</v>
      </c>
      <c r="K17" s="183" t="s">
        <v>819</v>
      </c>
      <c r="L17" s="183" t="s">
        <v>820</v>
      </c>
      <c r="N17" s="185">
        <f>+VLOOKUP(B17,dotpop24!$A$10:$L$178,11,)</f>
        <v>968894.07</v>
      </c>
      <c r="P17">
        <f>+VLOOKUP($B17,'SAE23'!$G$3:$L$181,4,0)</f>
        <v>25</v>
      </c>
      <c r="Q17">
        <f>+VLOOKUP($B17,basev2!$C$5:$Q$173,14,0)</f>
        <v>25</v>
      </c>
      <c r="R17">
        <f t="shared" si="0"/>
        <v>0</v>
      </c>
      <c r="S17">
        <f>+VLOOKUP($B17,'SAE23'!$G$3:$L$181,6,0)</f>
        <v>0</v>
      </c>
      <c r="T17">
        <f>+VLOOKUP($B17,basev2!$C$5:$Q$173,15,0)</f>
        <v>0</v>
      </c>
      <c r="U17">
        <f t="shared" si="1"/>
        <v>0</v>
      </c>
    </row>
    <row r="18" spans="1:21">
      <c r="A18" s="183" t="s">
        <v>22</v>
      </c>
      <c r="B18" s="183">
        <v>110780137</v>
      </c>
      <c r="C18" s="183" t="s">
        <v>37</v>
      </c>
      <c r="D18" s="183" t="s">
        <v>25</v>
      </c>
      <c r="E18" s="185">
        <v>10620</v>
      </c>
      <c r="F18" s="185">
        <v>10620</v>
      </c>
      <c r="G18" s="183">
        <v>0</v>
      </c>
      <c r="H18" s="183" t="s">
        <v>821</v>
      </c>
      <c r="I18" s="183" t="s">
        <v>822</v>
      </c>
      <c r="J18" s="183" t="s">
        <v>823</v>
      </c>
      <c r="K18" s="183" t="s">
        <v>824</v>
      </c>
      <c r="L18" s="183" t="s">
        <v>825</v>
      </c>
      <c r="N18" s="185">
        <f>+VLOOKUP(B18,dotpop24!$A$10:$L$178,11,)</f>
        <v>1157496.6299999999</v>
      </c>
      <c r="P18">
        <f>+VLOOKUP($B18,'SAE23'!$G$3:$L$181,4,0)</f>
        <v>30</v>
      </c>
      <c r="Q18">
        <f>+VLOOKUP($B18,basev2!$C$5:$Q$173,14,0)</f>
        <v>30</v>
      </c>
      <c r="R18">
        <f t="shared" si="0"/>
        <v>0</v>
      </c>
      <c r="S18">
        <f>+VLOOKUP($B18,'SAE23'!$G$3:$L$181,6,0)</f>
        <v>0</v>
      </c>
      <c r="T18">
        <f>+VLOOKUP($B18,basev2!$C$5:$Q$173,15,0)</f>
        <v>0</v>
      </c>
      <c r="U18">
        <f t="shared" si="1"/>
        <v>0</v>
      </c>
    </row>
    <row r="19" spans="1:21">
      <c r="A19" s="183" t="s">
        <v>30</v>
      </c>
      <c r="B19" s="183">
        <v>110780194</v>
      </c>
      <c r="C19" s="183" t="s">
        <v>38</v>
      </c>
      <c r="D19" s="183" t="s">
        <v>25</v>
      </c>
      <c r="E19" s="185">
        <v>23635</v>
      </c>
      <c r="F19" s="185">
        <v>23635</v>
      </c>
      <c r="G19" s="183">
        <v>0</v>
      </c>
      <c r="H19" s="183" t="s">
        <v>826</v>
      </c>
      <c r="I19" s="183" t="s">
        <v>827</v>
      </c>
      <c r="J19" s="183" t="s">
        <v>828</v>
      </c>
      <c r="K19" s="183" t="s">
        <v>829</v>
      </c>
      <c r="L19" s="183" t="s">
        <v>830</v>
      </c>
      <c r="N19" s="185">
        <f>+VLOOKUP(B19,dotpop24!$A$10:$L$178,11,)</f>
        <v>1742221.83</v>
      </c>
      <c r="P19">
        <f>+VLOOKUP($B19,'SAE23'!$D$3:$L$181,7,0)</f>
        <v>70</v>
      </c>
      <c r="Q19">
        <f>+VLOOKUP($B19,basev2!$C$5:$Q$173,14,0)</f>
        <v>70</v>
      </c>
      <c r="R19">
        <f t="shared" si="0"/>
        <v>0</v>
      </c>
      <c r="S19">
        <f>+VLOOKUP($B19,'SAE23'!$D$3:$L$181,9,0)</f>
        <v>0</v>
      </c>
      <c r="T19">
        <f>+VLOOKUP($B19,basev2!$C$5:$Q$173,15,0)</f>
        <v>0</v>
      </c>
      <c r="U19">
        <f t="shared" si="1"/>
        <v>0</v>
      </c>
    </row>
    <row r="20" spans="1:21" ht="30">
      <c r="A20" s="183" t="s">
        <v>30</v>
      </c>
      <c r="B20" s="183">
        <v>110780202</v>
      </c>
      <c r="C20" s="183" t="s">
        <v>1491</v>
      </c>
      <c r="D20" s="183" t="s">
        <v>25</v>
      </c>
      <c r="E20" s="185">
        <v>35963</v>
      </c>
      <c r="F20" s="185">
        <v>30572</v>
      </c>
      <c r="G20" s="185">
        <v>5391</v>
      </c>
      <c r="H20" s="183" t="s">
        <v>831</v>
      </c>
      <c r="I20" s="183" t="s">
        <v>832</v>
      </c>
      <c r="J20" s="183" t="s">
        <v>833</v>
      </c>
      <c r="K20" s="183" t="s">
        <v>834</v>
      </c>
      <c r="L20" s="183" t="s">
        <v>820</v>
      </c>
      <c r="N20" s="185">
        <f>+VLOOKUP(B20,dotpop24!$A$10:$L$178,11,)</f>
        <v>2332225</v>
      </c>
      <c r="P20">
        <f>+VLOOKUP($B20,'SAE23'!$D$3:$L$181,7,0)</f>
        <v>87</v>
      </c>
      <c r="Q20">
        <f>+VLOOKUP($B20,basev2!$C$5:$Q$173,14,0)</f>
        <v>87</v>
      </c>
      <c r="R20">
        <f t="shared" si="0"/>
        <v>0</v>
      </c>
      <c r="S20">
        <f>+VLOOKUP($B20,'SAE23'!$D$3:$L$181,9,0)</f>
        <v>10</v>
      </c>
      <c r="T20">
        <f>+VLOOKUP($B20,basev2!$C$5:$Q$173,15,0)</f>
        <v>10</v>
      </c>
      <c r="U20">
        <f t="shared" si="1"/>
        <v>0</v>
      </c>
    </row>
    <row r="21" spans="1:21">
      <c r="A21" s="183" t="s">
        <v>30</v>
      </c>
      <c r="B21" s="183">
        <v>110780228</v>
      </c>
      <c r="C21" s="183" t="s">
        <v>40</v>
      </c>
      <c r="D21" s="183" t="s">
        <v>25</v>
      </c>
      <c r="E21" s="185">
        <v>20557</v>
      </c>
      <c r="F21" s="185">
        <v>10442</v>
      </c>
      <c r="G21" s="185">
        <v>10115</v>
      </c>
      <c r="H21" s="183" t="s">
        <v>835</v>
      </c>
      <c r="I21" s="183" t="s">
        <v>836</v>
      </c>
      <c r="J21" s="183" t="s">
        <v>837</v>
      </c>
      <c r="K21" s="183" t="s">
        <v>838</v>
      </c>
      <c r="L21" s="183" t="s">
        <v>839</v>
      </c>
      <c r="N21" s="185">
        <f>+VLOOKUP(B21,dotpop24!$A$10:$L$178,11,)</f>
        <v>942310.57</v>
      </c>
      <c r="P21">
        <f>+VLOOKUP($B21,'SAE23'!$D$3:$L$181,7,0)</f>
        <v>34</v>
      </c>
      <c r="Q21">
        <f>+VLOOKUP($B21,basev2!$C$5:$Q$173,14,0)</f>
        <v>34</v>
      </c>
      <c r="R21">
        <f t="shared" si="0"/>
        <v>0</v>
      </c>
      <c r="S21">
        <f>+VLOOKUP($B21,'SAE23'!$D$3:$L$181,9,0)</f>
        <v>40</v>
      </c>
      <c r="T21">
        <f>+VLOOKUP($B21,basev2!$C$5:$Q$173,15,0)</f>
        <v>40</v>
      </c>
      <c r="U21">
        <f t="shared" si="1"/>
        <v>0</v>
      </c>
    </row>
    <row r="22" spans="1:21">
      <c r="A22" s="183" t="s">
        <v>22</v>
      </c>
      <c r="B22" s="183">
        <v>110780707</v>
      </c>
      <c r="C22" s="183" t="s">
        <v>41</v>
      </c>
      <c r="D22" s="183" t="s">
        <v>25</v>
      </c>
      <c r="E22" s="185">
        <v>14822</v>
      </c>
      <c r="F22" s="185">
        <v>14822</v>
      </c>
      <c r="G22" s="183">
        <v>0</v>
      </c>
      <c r="H22" s="183" t="s">
        <v>840</v>
      </c>
      <c r="I22" s="183" t="s">
        <v>841</v>
      </c>
      <c r="J22" s="183" t="s">
        <v>842</v>
      </c>
      <c r="K22" s="183" t="s">
        <v>843</v>
      </c>
      <c r="L22" s="183" t="s">
        <v>844</v>
      </c>
      <c r="N22" s="185">
        <f>+VLOOKUP(B22,dotpop24!$A$10:$L$178,11,)</f>
        <v>1754587.88</v>
      </c>
      <c r="P22">
        <f>29+15</f>
        <v>44</v>
      </c>
      <c r="Q22">
        <f>+VLOOKUP($B22,basev2!$C$5:$Q$173,14,0)</f>
        <v>44</v>
      </c>
      <c r="R22">
        <f t="shared" si="0"/>
        <v>0</v>
      </c>
      <c r="S22">
        <f>+VLOOKUP($B22,'SAE23'!$G$3:$L$181,6,0)</f>
        <v>0</v>
      </c>
      <c r="T22">
        <f>+VLOOKUP($B22,basev2!$C$5:$Q$173,15,0)</f>
        <v>0</v>
      </c>
      <c r="U22">
        <f t="shared" si="1"/>
        <v>0</v>
      </c>
    </row>
    <row r="23" spans="1:21">
      <c r="A23" s="183" t="s">
        <v>22</v>
      </c>
      <c r="B23" s="183">
        <v>110780772</v>
      </c>
      <c r="C23" s="183" t="s">
        <v>42</v>
      </c>
      <c r="D23" s="183" t="s">
        <v>25</v>
      </c>
      <c r="E23" s="185">
        <v>12252</v>
      </c>
      <c r="F23" s="185">
        <v>12252</v>
      </c>
      <c r="G23" s="183">
        <v>0</v>
      </c>
      <c r="H23" s="183" t="s">
        <v>845</v>
      </c>
      <c r="I23" s="183" t="s">
        <v>846</v>
      </c>
      <c r="J23" s="183" t="s">
        <v>847</v>
      </c>
      <c r="K23" s="183" t="s">
        <v>848</v>
      </c>
      <c r="L23" s="183" t="s">
        <v>849</v>
      </c>
      <c r="N23" s="185">
        <f>+VLOOKUP(B23,dotpop24!$A$10:$L$178,11,)</f>
        <v>1295997.8500000001</v>
      </c>
      <c r="P23">
        <f>+VLOOKUP($B23,'SAE23'!$G$3:$L$181,4,0)</f>
        <v>37</v>
      </c>
      <c r="Q23">
        <f>+VLOOKUP($B23,basev2!$C$5:$Q$173,14,0)</f>
        <v>37</v>
      </c>
      <c r="R23">
        <f t="shared" si="0"/>
        <v>0</v>
      </c>
      <c r="S23">
        <f>+VLOOKUP($B23,'SAE23'!$G$3:$L$181,6,0)</f>
        <v>0</v>
      </c>
      <c r="T23">
        <f>+VLOOKUP($B23,basev2!$C$5:$Q$173,15,0)</f>
        <v>0</v>
      </c>
      <c r="U23">
        <f t="shared" si="1"/>
        <v>0</v>
      </c>
    </row>
    <row r="24" spans="1:21">
      <c r="A24" s="183" t="s">
        <v>22</v>
      </c>
      <c r="B24" s="183">
        <v>110781010</v>
      </c>
      <c r="C24" s="183" t="s">
        <v>43</v>
      </c>
      <c r="D24" s="183" t="s">
        <v>25</v>
      </c>
      <c r="E24" s="185">
        <v>15129</v>
      </c>
      <c r="F24" s="185">
        <v>11504</v>
      </c>
      <c r="G24" s="185">
        <v>3625</v>
      </c>
      <c r="H24" s="183" t="s">
        <v>850</v>
      </c>
      <c r="I24" s="183" t="s">
        <v>851</v>
      </c>
      <c r="J24" s="183" t="s">
        <v>852</v>
      </c>
      <c r="K24" s="183" t="s">
        <v>853</v>
      </c>
      <c r="L24" s="183" t="s">
        <v>854</v>
      </c>
      <c r="N24" s="185">
        <f>+VLOOKUP(B24,dotpop24!$A$10:$L$178,11,)</f>
        <v>1518979.46</v>
      </c>
      <c r="P24">
        <f>+VLOOKUP($B24,'SAE23'!$G$3:$L$181,4,0)</f>
        <v>40</v>
      </c>
      <c r="Q24">
        <f>+VLOOKUP($B24,basev2!$C$5:$Q$173,14,0)</f>
        <v>40</v>
      </c>
      <c r="R24">
        <f t="shared" si="0"/>
        <v>0</v>
      </c>
      <c r="S24">
        <f>+VLOOKUP($B24,'SAE23'!$G$3:$L$181,6,0)</f>
        <v>10</v>
      </c>
      <c r="T24">
        <f>+VLOOKUP($B24,basev2!$C$5:$Q$173,15,0)</f>
        <v>10</v>
      </c>
      <c r="U24">
        <f t="shared" si="1"/>
        <v>0</v>
      </c>
    </row>
    <row r="25" spans="1:21">
      <c r="A25" s="183" t="s">
        <v>33</v>
      </c>
      <c r="B25" s="183">
        <v>110786324</v>
      </c>
      <c r="C25" s="183" t="s">
        <v>44</v>
      </c>
      <c r="D25" s="183" t="s">
        <v>25</v>
      </c>
      <c r="E25" s="185">
        <v>15961</v>
      </c>
      <c r="F25" s="185">
        <v>14522</v>
      </c>
      <c r="G25" s="185">
        <v>1439</v>
      </c>
      <c r="H25" s="183" t="s">
        <v>855</v>
      </c>
      <c r="I25" s="183" t="s">
        <v>856</v>
      </c>
      <c r="J25" s="183" t="s">
        <v>857</v>
      </c>
      <c r="K25" s="183" t="s">
        <v>858</v>
      </c>
      <c r="L25" s="183" t="s">
        <v>859</v>
      </c>
      <c r="N25" s="185">
        <f>+VLOOKUP(B25,dotpop24!$A$10:$L$178,11,)</f>
        <v>1860561.52</v>
      </c>
      <c r="P25">
        <f>+VLOOKUP($B25,'SAE23'!$G$3:$L$181,4,0)</f>
        <v>44</v>
      </c>
      <c r="Q25">
        <f>+VLOOKUP($B25,basev2!$C$5:$Q$173,14,0)</f>
        <v>44</v>
      </c>
      <c r="R25">
        <f t="shared" si="0"/>
        <v>0</v>
      </c>
      <c r="S25">
        <f>+VLOOKUP($B25,'SAE23'!$G$3:$L$181,6,0)</f>
        <v>6</v>
      </c>
      <c r="T25">
        <f>+VLOOKUP($B25,basev2!$C$5:$Q$173,15,0)</f>
        <v>6</v>
      </c>
      <c r="U25">
        <f t="shared" si="1"/>
        <v>0</v>
      </c>
    </row>
    <row r="26" spans="1:21">
      <c r="A26" s="183" t="s">
        <v>22</v>
      </c>
      <c r="B26" s="183">
        <v>120004528</v>
      </c>
      <c r="C26" s="183" t="s">
        <v>45</v>
      </c>
      <c r="D26" s="183" t="s">
        <v>25</v>
      </c>
      <c r="E26" s="185">
        <v>10482</v>
      </c>
      <c r="F26" s="185">
        <v>10482</v>
      </c>
      <c r="G26" s="183">
        <v>0</v>
      </c>
      <c r="H26" s="183" t="s">
        <v>860</v>
      </c>
      <c r="I26" s="183" t="s">
        <v>861</v>
      </c>
      <c r="J26" s="183" t="s">
        <v>862</v>
      </c>
      <c r="K26" s="183" t="s">
        <v>819</v>
      </c>
      <c r="L26" s="183" t="s">
        <v>859</v>
      </c>
      <c r="N26" s="185">
        <f>+VLOOKUP(B26,dotpop24!$A$10:$L$178,11,)</f>
        <v>1786361.24</v>
      </c>
      <c r="P26">
        <f>+VLOOKUP($B26,'SAE23'!$G$3:$L$181,4,0)</f>
        <v>30</v>
      </c>
      <c r="Q26">
        <f>+VLOOKUP($B26,basev2!$C$5:$Q$173,14,0)</f>
        <v>30</v>
      </c>
      <c r="R26">
        <f t="shared" si="0"/>
        <v>0</v>
      </c>
      <c r="S26">
        <f>+VLOOKUP($B26,'SAE23'!$G$3:$L$181,6,0)</f>
        <v>0</v>
      </c>
      <c r="T26">
        <f>+VLOOKUP($B26,basev2!$C$5:$Q$173,15,0)</f>
        <v>0</v>
      </c>
      <c r="U26">
        <f t="shared" si="1"/>
        <v>0</v>
      </c>
    </row>
    <row r="27" spans="1:21">
      <c r="A27" s="183" t="s">
        <v>22</v>
      </c>
      <c r="B27" s="183">
        <v>120004619</v>
      </c>
      <c r="C27" s="183" t="s">
        <v>46</v>
      </c>
      <c r="D27" s="183" t="s">
        <v>25</v>
      </c>
      <c r="E27" s="185">
        <v>3263</v>
      </c>
      <c r="F27" s="185">
        <v>3263</v>
      </c>
      <c r="G27" s="183">
        <v>0</v>
      </c>
      <c r="H27" s="183" t="s">
        <v>863</v>
      </c>
      <c r="I27" s="183" t="s">
        <v>864</v>
      </c>
      <c r="J27" s="183" t="s">
        <v>865</v>
      </c>
      <c r="K27" s="183" t="s">
        <v>866</v>
      </c>
      <c r="L27" s="183" t="s">
        <v>867</v>
      </c>
      <c r="N27" s="185">
        <f>+VLOOKUP(B27,dotpop24!$A$10:$L$178,11,)</f>
        <v>1285924.06</v>
      </c>
      <c r="P27">
        <f>+VLOOKUP($B27,'SAE23'!$G$3:$L$181,4,0)</f>
        <v>30</v>
      </c>
      <c r="Q27">
        <f>+VLOOKUP($B27,basev2!$C$5:$Q$173,14,0)</f>
        <v>30</v>
      </c>
      <c r="R27">
        <f t="shared" si="0"/>
        <v>0</v>
      </c>
      <c r="S27">
        <f>+VLOOKUP($B27,'SAE23'!$G$3:$L$181,6,0)</f>
        <v>0</v>
      </c>
      <c r="T27">
        <f>+VLOOKUP($B27,basev2!$C$5:$Q$173,15,0)</f>
        <v>0</v>
      </c>
      <c r="U27">
        <f t="shared" si="1"/>
        <v>0</v>
      </c>
    </row>
    <row r="28" spans="1:21">
      <c r="A28" s="183" t="s">
        <v>22</v>
      </c>
      <c r="B28" s="183">
        <v>120780044</v>
      </c>
      <c r="C28" s="183" t="s">
        <v>47</v>
      </c>
      <c r="D28" s="183" t="s">
        <v>25</v>
      </c>
      <c r="E28" s="185">
        <v>10952</v>
      </c>
      <c r="F28" s="185">
        <v>10952</v>
      </c>
      <c r="G28" s="183">
        <v>0</v>
      </c>
      <c r="H28" s="183" t="s">
        <v>868</v>
      </c>
      <c r="I28" s="183" t="s">
        <v>869</v>
      </c>
      <c r="J28" s="183" t="s">
        <v>870</v>
      </c>
      <c r="K28" s="183" t="s">
        <v>871</v>
      </c>
      <c r="L28" s="183" t="s">
        <v>872</v>
      </c>
      <c r="N28" s="185">
        <f>+VLOOKUP(B28,dotpop24!$A$10:$L$178,11,)</f>
        <v>1717799.37</v>
      </c>
      <c r="P28">
        <f>+VLOOKUP($B28,'SAE23'!$G$3:$L$181,4,0)</f>
        <v>40</v>
      </c>
      <c r="Q28">
        <f>+VLOOKUP($B28,basev2!$C$5:$Q$173,14,0)</f>
        <v>40</v>
      </c>
      <c r="R28">
        <f t="shared" si="0"/>
        <v>0</v>
      </c>
      <c r="S28">
        <f>+VLOOKUP($B28,'SAE23'!$G$3:$L$181,6,0)</f>
        <v>0</v>
      </c>
      <c r="T28">
        <f>+VLOOKUP($B28,basev2!$C$5:$Q$173,15,0)</f>
        <v>0</v>
      </c>
      <c r="U28">
        <f t="shared" si="1"/>
        <v>0</v>
      </c>
    </row>
    <row r="29" spans="1:21">
      <c r="A29" s="183" t="s">
        <v>22</v>
      </c>
      <c r="B29" s="183">
        <v>120780069</v>
      </c>
      <c r="C29" s="183" t="s">
        <v>48</v>
      </c>
      <c r="D29" s="183" t="s">
        <v>25</v>
      </c>
      <c r="E29" s="185">
        <v>9923</v>
      </c>
      <c r="F29" s="185">
        <v>9923</v>
      </c>
      <c r="G29" s="183">
        <v>0</v>
      </c>
      <c r="H29" s="183" t="s">
        <v>845</v>
      </c>
      <c r="I29" s="183" t="s">
        <v>873</v>
      </c>
      <c r="J29" s="183" t="s">
        <v>874</v>
      </c>
      <c r="K29" s="183" t="s">
        <v>875</v>
      </c>
      <c r="L29" s="183" t="s">
        <v>876</v>
      </c>
      <c r="N29" s="185">
        <f>+VLOOKUP(B29,dotpop24!$A$10:$L$178,11,)</f>
        <v>1618599.28</v>
      </c>
      <c r="P29">
        <f>+VLOOKUP($B29,'SAE23'!$G$3:$L$181,4,0)</f>
        <v>29</v>
      </c>
      <c r="Q29">
        <f>+VLOOKUP($B29,basev2!$C$5:$Q$173,14,0)</f>
        <v>29</v>
      </c>
      <c r="R29">
        <f t="shared" si="0"/>
        <v>0</v>
      </c>
      <c r="S29">
        <f>+VLOOKUP($B29,'SAE23'!$G$3:$L$181,6,0)</f>
        <v>0</v>
      </c>
      <c r="T29">
        <f>+VLOOKUP($B29,basev2!$C$5:$Q$173,15,0)</f>
        <v>0</v>
      </c>
      <c r="U29">
        <f t="shared" si="1"/>
        <v>0</v>
      </c>
    </row>
    <row r="30" spans="1:21">
      <c r="A30" s="183" t="s">
        <v>22</v>
      </c>
      <c r="B30" s="183">
        <v>120780085</v>
      </c>
      <c r="C30" s="183" t="s">
        <v>49</v>
      </c>
      <c r="D30" s="183" t="s">
        <v>25</v>
      </c>
      <c r="E30" s="185">
        <v>6957</v>
      </c>
      <c r="F30" s="185">
        <v>6957</v>
      </c>
      <c r="G30" s="183">
        <v>0</v>
      </c>
      <c r="H30" s="183" t="s">
        <v>877</v>
      </c>
      <c r="I30" s="183" t="s">
        <v>878</v>
      </c>
      <c r="J30" s="183" t="s">
        <v>879</v>
      </c>
      <c r="K30" s="183" t="s">
        <v>880</v>
      </c>
      <c r="L30" s="183" t="s">
        <v>881</v>
      </c>
      <c r="N30" s="185">
        <f>+VLOOKUP(B30,dotpop24!$A$10:$L$178,11,)</f>
        <v>1453807.3</v>
      </c>
      <c r="P30">
        <f>+VLOOKUP($B30,'SAE23'!$G$3:$L$181,4,0)</f>
        <v>21</v>
      </c>
      <c r="Q30">
        <f>+VLOOKUP($B30,basev2!$C$5:$Q$173,14,0)</f>
        <v>21</v>
      </c>
      <c r="R30">
        <f t="shared" si="0"/>
        <v>0</v>
      </c>
      <c r="S30">
        <f>+VLOOKUP($B30,'SAE23'!$G$3:$L$181,6,0)</f>
        <v>0</v>
      </c>
      <c r="T30">
        <f>+VLOOKUP($B30,basev2!$C$5:$Q$173,15,0)</f>
        <v>0</v>
      </c>
      <c r="U30">
        <f t="shared" si="1"/>
        <v>0</v>
      </c>
    </row>
    <row r="31" spans="1:21">
      <c r="A31" s="183" t="s">
        <v>22</v>
      </c>
      <c r="B31" s="183">
        <v>120780093</v>
      </c>
      <c r="C31" s="183" t="s">
        <v>50</v>
      </c>
      <c r="D31" s="183" t="s">
        <v>25</v>
      </c>
      <c r="E31" s="185">
        <v>6513</v>
      </c>
      <c r="F31" s="185">
        <v>6513</v>
      </c>
      <c r="G31" s="183">
        <v>0</v>
      </c>
      <c r="H31" s="183" t="s">
        <v>882</v>
      </c>
      <c r="I31" s="183" t="s">
        <v>883</v>
      </c>
      <c r="J31" s="183" t="s">
        <v>884</v>
      </c>
      <c r="K31" s="183" t="s">
        <v>885</v>
      </c>
      <c r="L31" s="183" t="s">
        <v>886</v>
      </c>
      <c r="N31" s="185">
        <f>+VLOOKUP(B31,dotpop24!$A$10:$L$178,11,)</f>
        <v>971351.94</v>
      </c>
      <c r="P31">
        <f>+VLOOKUP($B31,'SAE23'!$G$3:$L$181,4,0)</f>
        <v>24</v>
      </c>
      <c r="Q31">
        <f>+VLOOKUP($B31,basev2!$C$5:$Q$173,14,0)</f>
        <v>24</v>
      </c>
      <c r="R31">
        <f t="shared" si="0"/>
        <v>0</v>
      </c>
      <c r="S31">
        <f>+VLOOKUP($B31,'SAE23'!$G$3:$L$181,6,0)</f>
        <v>0</v>
      </c>
      <c r="T31">
        <f>+VLOOKUP($B31,basev2!$C$5:$Q$173,15,0)</f>
        <v>0</v>
      </c>
      <c r="U31">
        <f t="shared" si="1"/>
        <v>0</v>
      </c>
    </row>
    <row r="32" spans="1:21">
      <c r="A32" s="183" t="s">
        <v>22</v>
      </c>
      <c r="B32" s="183">
        <v>120780101</v>
      </c>
      <c r="C32" s="183" t="s">
        <v>51</v>
      </c>
      <c r="D32" s="183" t="s">
        <v>25</v>
      </c>
      <c r="E32" s="185">
        <v>18381</v>
      </c>
      <c r="F32" s="185">
        <v>16394</v>
      </c>
      <c r="G32" s="185">
        <v>1987</v>
      </c>
      <c r="H32" s="183" t="s">
        <v>887</v>
      </c>
      <c r="I32" s="183" t="s">
        <v>888</v>
      </c>
      <c r="J32" s="183" t="s">
        <v>889</v>
      </c>
      <c r="K32" s="183" t="s">
        <v>825</v>
      </c>
      <c r="L32" s="183" t="s">
        <v>890</v>
      </c>
      <c r="N32" s="185">
        <f>+VLOOKUP(B32,dotpop24!$A$10:$L$178,11,)</f>
        <v>3849938.51</v>
      </c>
      <c r="P32">
        <f>+VLOOKUP($B32,'SAE23'!$G$3:$L$181,4,0)</f>
        <v>85</v>
      </c>
      <c r="Q32">
        <f>+VLOOKUP($B32,basev2!$C$5:$Q$173,14,0)</f>
        <v>85</v>
      </c>
      <c r="R32">
        <f t="shared" si="0"/>
        <v>0</v>
      </c>
      <c r="S32">
        <f>+VLOOKUP($B32,'SAE23'!$G$3:$L$181,6,0)</f>
        <v>10</v>
      </c>
      <c r="T32">
        <f>+VLOOKUP($B32,basev2!$C$5:$Q$173,15,0)</f>
        <v>10</v>
      </c>
      <c r="U32">
        <f t="shared" si="1"/>
        <v>0</v>
      </c>
    </row>
    <row r="33" spans="1:21">
      <c r="A33" s="183" t="s">
        <v>33</v>
      </c>
      <c r="B33" s="183">
        <v>120780135</v>
      </c>
      <c r="C33" s="183" t="s">
        <v>52</v>
      </c>
      <c r="D33" s="183" t="s">
        <v>25</v>
      </c>
      <c r="E33" s="185">
        <v>22189</v>
      </c>
      <c r="F33" s="185">
        <v>22189</v>
      </c>
      <c r="G33" s="183">
        <v>0</v>
      </c>
      <c r="H33" s="183" t="s">
        <v>891</v>
      </c>
      <c r="I33" s="183" t="s">
        <v>892</v>
      </c>
      <c r="J33" s="183" t="s">
        <v>893</v>
      </c>
      <c r="K33" s="183" t="s">
        <v>894</v>
      </c>
      <c r="L33" s="183" t="s">
        <v>895</v>
      </c>
      <c r="N33" s="185">
        <f>+VLOOKUP(B33,dotpop24!$A$10:$L$178,11,)</f>
        <v>3019604.36</v>
      </c>
      <c r="P33">
        <f>+VLOOKUP($B33,'SAE23'!$D$3:$L$181,7,0)</f>
        <v>74</v>
      </c>
      <c r="Q33">
        <f>+VLOOKUP($B33,basev2!$C$5:$Q$173,14,0)</f>
        <v>74</v>
      </c>
      <c r="R33">
        <f t="shared" si="0"/>
        <v>0</v>
      </c>
      <c r="S33">
        <f>+VLOOKUP($B33,'SAE23'!$D$3:$L$181,9,0)</f>
        <v>0</v>
      </c>
      <c r="T33">
        <f>+VLOOKUP($B33,basev2!$C$5:$Q$173,15,0)</f>
        <v>0</v>
      </c>
      <c r="U33">
        <f t="shared" si="1"/>
        <v>0</v>
      </c>
    </row>
    <row r="34" spans="1:21">
      <c r="A34" s="183" t="s">
        <v>30</v>
      </c>
      <c r="B34" s="183">
        <v>120780143</v>
      </c>
      <c r="C34" s="183" t="s">
        <v>53</v>
      </c>
      <c r="D34" s="183" t="s">
        <v>25</v>
      </c>
      <c r="E34" s="185">
        <v>31582</v>
      </c>
      <c r="F34" s="185">
        <v>29032</v>
      </c>
      <c r="G34" s="185">
        <v>2550</v>
      </c>
      <c r="H34" s="183" t="s">
        <v>896</v>
      </c>
      <c r="I34" s="183" t="s">
        <v>897</v>
      </c>
      <c r="J34" s="183" t="s">
        <v>898</v>
      </c>
      <c r="K34" s="183" t="s">
        <v>899</v>
      </c>
      <c r="L34" s="183" t="s">
        <v>900</v>
      </c>
      <c r="N34" s="185">
        <f>+VLOOKUP(B34,dotpop24!$A$10:$L$178,11,)</f>
        <v>2581606</v>
      </c>
      <c r="P34">
        <f>+VLOOKUP($B34,'SAE23'!$D$3:$L$181,7,0)</f>
        <v>108</v>
      </c>
      <c r="Q34">
        <f>+VLOOKUP($B34,basev2!$C$5:$Q$173,14,0)</f>
        <v>108</v>
      </c>
      <c r="R34">
        <f t="shared" si="0"/>
        <v>0</v>
      </c>
      <c r="S34">
        <f>+VLOOKUP($B34,'SAE23'!$D$3:$L$181,9,0)</f>
        <v>10</v>
      </c>
      <c r="T34">
        <f>+VLOOKUP($B34,basev2!$C$5:$Q$173,15,0)</f>
        <v>10</v>
      </c>
      <c r="U34">
        <f t="shared" si="1"/>
        <v>0</v>
      </c>
    </row>
    <row r="35" spans="1:21">
      <c r="A35" s="183" t="s">
        <v>22</v>
      </c>
      <c r="B35" s="183">
        <v>120780291</v>
      </c>
      <c r="C35" s="183" t="s">
        <v>54</v>
      </c>
      <c r="D35" s="183" t="s">
        <v>25</v>
      </c>
      <c r="E35" s="185">
        <v>7265</v>
      </c>
      <c r="F35" s="185">
        <v>7265</v>
      </c>
      <c r="G35" s="183">
        <v>0</v>
      </c>
      <c r="H35" s="183" t="s">
        <v>901</v>
      </c>
      <c r="I35" s="183" t="s">
        <v>902</v>
      </c>
      <c r="J35" s="183" t="s">
        <v>903</v>
      </c>
      <c r="K35" s="183" t="s">
        <v>904</v>
      </c>
      <c r="L35" s="183" t="s">
        <v>905</v>
      </c>
      <c r="N35" s="185">
        <f>+VLOOKUP(B35,dotpop24!$A$10:$L$178,11,)</f>
        <v>1430511.49</v>
      </c>
      <c r="P35">
        <f>+VLOOKUP($B35,'SAE23'!$G$3:$L$181,4,0)</f>
        <v>41</v>
      </c>
      <c r="Q35">
        <f>+VLOOKUP($B35,basev2!$C$5:$Q$173,14,0)</f>
        <v>41</v>
      </c>
      <c r="R35">
        <f t="shared" si="0"/>
        <v>0</v>
      </c>
      <c r="S35">
        <f>+VLOOKUP($B35,'SAE23'!$G$3:$L$181,6,0)</f>
        <v>0</v>
      </c>
      <c r="T35">
        <f>+VLOOKUP($B35,basev2!$C$5:$Q$173,15,0)</f>
        <v>0</v>
      </c>
      <c r="U35">
        <f t="shared" si="1"/>
        <v>0</v>
      </c>
    </row>
    <row r="36" spans="1:21">
      <c r="A36" s="183" t="s">
        <v>22</v>
      </c>
      <c r="B36" s="183">
        <v>120780481</v>
      </c>
      <c r="C36" s="183" t="s">
        <v>55</v>
      </c>
      <c r="D36" s="183" t="s">
        <v>25</v>
      </c>
      <c r="E36" s="185">
        <v>9358</v>
      </c>
      <c r="F36" s="185">
        <v>9358</v>
      </c>
      <c r="G36" s="183">
        <v>0</v>
      </c>
      <c r="H36" s="183" t="s">
        <v>906</v>
      </c>
      <c r="I36" s="183" t="s">
        <v>907</v>
      </c>
      <c r="J36" s="183" t="s">
        <v>908</v>
      </c>
      <c r="K36" s="183" t="s">
        <v>843</v>
      </c>
      <c r="L36" s="183" t="s">
        <v>909</v>
      </c>
      <c r="N36" s="185">
        <f>+VLOOKUP(B36,dotpop24!$A$10:$L$178,11,)</f>
        <v>981670.78</v>
      </c>
      <c r="P36">
        <f>+VLOOKUP($B36,'SAE23'!$G$3:$L$181,4,0)</f>
        <v>34</v>
      </c>
      <c r="Q36">
        <f>+VLOOKUP($B36,basev2!$C$5:$Q$173,14,0)</f>
        <v>34</v>
      </c>
      <c r="R36">
        <f t="shared" si="0"/>
        <v>0</v>
      </c>
      <c r="S36">
        <f>+VLOOKUP($B36,'SAE23'!$G$3:$L$181,6,0)</f>
        <v>0</v>
      </c>
      <c r="T36">
        <f>+VLOOKUP($B36,basev2!$C$5:$Q$173,15,0)</f>
        <v>0</v>
      </c>
      <c r="U36">
        <f t="shared" si="1"/>
        <v>0</v>
      </c>
    </row>
    <row r="37" spans="1:21">
      <c r="A37" s="183" t="s">
        <v>33</v>
      </c>
      <c r="B37" s="183">
        <v>300002169</v>
      </c>
      <c r="C37" s="183" t="s">
        <v>56</v>
      </c>
      <c r="D37" s="183" t="s">
        <v>25</v>
      </c>
      <c r="E37" s="185">
        <v>14593</v>
      </c>
      <c r="F37" s="185">
        <v>13707</v>
      </c>
      <c r="G37" s="183">
        <v>886</v>
      </c>
      <c r="H37" s="183" t="s">
        <v>910</v>
      </c>
      <c r="I37" s="183" t="s">
        <v>911</v>
      </c>
      <c r="J37" s="183" t="s">
        <v>912</v>
      </c>
      <c r="K37" s="183" t="s">
        <v>913</v>
      </c>
      <c r="L37" s="183" t="s">
        <v>914</v>
      </c>
      <c r="N37" s="185">
        <f>+VLOOKUP(B37,dotpop24!$A$10:$L$178,11,)</f>
        <v>1386794.34</v>
      </c>
      <c r="P37">
        <f>+VLOOKUP($B37,'SAE23'!$D$3:$L$181,7,0)</f>
        <v>35</v>
      </c>
      <c r="Q37">
        <f>+VLOOKUP($B37,basev2!$C$5:$Q$173,14,0)</f>
        <v>35</v>
      </c>
      <c r="R37">
        <f t="shared" si="0"/>
        <v>0</v>
      </c>
      <c r="S37">
        <f>+VLOOKUP($B37,'SAE23'!$D$3:$L$181,9,0)</f>
        <v>6</v>
      </c>
      <c r="T37">
        <f>+VLOOKUP($B37,basev2!$C$5:$Q$173,15,0)</f>
        <v>6</v>
      </c>
      <c r="U37">
        <f t="shared" si="1"/>
        <v>0</v>
      </c>
    </row>
    <row r="38" spans="1:21">
      <c r="A38" s="183" t="s">
        <v>33</v>
      </c>
      <c r="B38" s="183">
        <v>300012358</v>
      </c>
      <c r="C38" s="183" t="s">
        <v>57</v>
      </c>
      <c r="D38" s="183" t="s">
        <v>25</v>
      </c>
      <c r="E38" s="185">
        <v>26481</v>
      </c>
      <c r="F38" s="185">
        <v>24814</v>
      </c>
      <c r="G38" s="185">
        <v>1667</v>
      </c>
      <c r="H38" s="183" t="s">
        <v>845</v>
      </c>
      <c r="I38" s="183" t="s">
        <v>915</v>
      </c>
      <c r="J38" s="183" t="s">
        <v>916</v>
      </c>
      <c r="K38" s="183" t="s">
        <v>917</v>
      </c>
      <c r="L38" s="183" t="s">
        <v>791</v>
      </c>
      <c r="N38" s="185">
        <f>+VLOOKUP(B38,dotpop24!$A$10:$L$178,11,)</f>
        <v>2889919.58</v>
      </c>
      <c r="P38">
        <f>+VLOOKUP($B38,'SAE23'!$D$3:$L$181,7,0)</f>
        <v>82</v>
      </c>
      <c r="Q38">
        <f>+VLOOKUP($B38,basev2!$C$5:$Q$173,14,0)</f>
        <v>82</v>
      </c>
      <c r="R38">
        <f t="shared" si="0"/>
        <v>0</v>
      </c>
      <c r="S38">
        <f>+VLOOKUP($B38,'SAE23'!$D$3:$L$181,9,0)</f>
        <v>0</v>
      </c>
      <c r="T38">
        <f>+VLOOKUP($B38,basev2!$C$5:$Q$173,15,0)</f>
        <v>0</v>
      </c>
      <c r="U38">
        <f t="shared" si="1"/>
        <v>0</v>
      </c>
    </row>
    <row r="39" spans="1:21">
      <c r="A39" s="183" t="s">
        <v>22</v>
      </c>
      <c r="B39" s="183">
        <v>300780053</v>
      </c>
      <c r="C39" s="191" t="s">
        <v>64</v>
      </c>
      <c r="D39" s="183" t="s">
        <v>25</v>
      </c>
      <c r="E39" s="185">
        <v>9680</v>
      </c>
      <c r="F39" s="185">
        <v>6505</v>
      </c>
      <c r="G39" s="185">
        <v>3175</v>
      </c>
      <c r="H39" s="183" t="s">
        <v>938</v>
      </c>
      <c r="I39" s="183" t="s">
        <v>803</v>
      </c>
      <c r="J39" s="183" t="s">
        <v>939</v>
      </c>
      <c r="K39" s="183" t="s">
        <v>940</v>
      </c>
      <c r="L39" s="183" t="s">
        <v>922</v>
      </c>
      <c r="N39" s="185">
        <f>+VLOOKUP(B39,dotpop24!$A$10:$L$178,11,)</f>
        <v>1465394</v>
      </c>
      <c r="P39" s="80"/>
      <c r="Q39" s="80">
        <f>+VLOOKUP($B39,basev2!$C$5:$Q$173,14,0)</f>
        <v>50</v>
      </c>
      <c r="R39" s="80"/>
      <c r="S39" s="80"/>
      <c r="T39" s="80">
        <f>+VLOOKUP($B39,basev2!$C$5:$Q$173,15,0)</f>
        <v>25</v>
      </c>
      <c r="U39" s="80">
        <f t="shared" si="1"/>
        <v>-25</v>
      </c>
    </row>
    <row r="40" spans="1:21">
      <c r="A40" s="183" t="s">
        <v>22</v>
      </c>
      <c r="B40" s="183">
        <v>300014040</v>
      </c>
      <c r="C40" s="192" t="s">
        <v>58</v>
      </c>
      <c r="D40" s="192" t="s">
        <v>59</v>
      </c>
      <c r="E40" s="185">
        <v>4423</v>
      </c>
      <c r="F40" s="185">
        <v>3156</v>
      </c>
      <c r="G40" s="185">
        <v>1267</v>
      </c>
      <c r="H40" s="183" t="s">
        <v>918</v>
      </c>
      <c r="I40" s="183" t="s">
        <v>919</v>
      </c>
      <c r="J40" s="183" t="s">
        <v>920</v>
      </c>
      <c r="K40" s="183" t="s">
        <v>921</v>
      </c>
      <c r="L40" s="183" t="s">
        <v>922</v>
      </c>
      <c r="N40" s="185"/>
      <c r="P40" s="80">
        <f>+VLOOKUP($B40,'SAE23'!$D$3:$L$181,7,0)</f>
        <v>50</v>
      </c>
      <c r="Q40" s="80"/>
      <c r="R40" s="80"/>
      <c r="S40" s="80">
        <f>+VLOOKUP($B40,'SAE23'!$D$3:$L$181,9,0)</f>
        <v>25</v>
      </c>
      <c r="T40" s="80"/>
      <c r="U40" s="80">
        <f t="shared" si="1"/>
        <v>25</v>
      </c>
    </row>
    <row r="41" spans="1:21">
      <c r="A41" s="183" t="s">
        <v>30</v>
      </c>
      <c r="B41" s="183">
        <v>300017423</v>
      </c>
      <c r="C41" s="183" t="s">
        <v>60</v>
      </c>
      <c r="D41" s="183" t="s">
        <v>25</v>
      </c>
      <c r="E41" s="185">
        <v>17988</v>
      </c>
      <c r="F41" s="185">
        <v>15375</v>
      </c>
      <c r="G41" s="185">
        <v>2613</v>
      </c>
      <c r="H41" s="183" t="s">
        <v>923</v>
      </c>
      <c r="I41" s="183" t="s">
        <v>924</v>
      </c>
      <c r="J41" s="183" t="s">
        <v>925</v>
      </c>
      <c r="K41" s="183" t="s">
        <v>926</v>
      </c>
      <c r="L41" s="183" t="s">
        <v>927</v>
      </c>
      <c r="N41" s="185">
        <f>+VLOOKUP(B41,dotpop24!$A$10:$L$178,11,)</f>
        <v>1529686.68</v>
      </c>
      <c r="P41">
        <f>+VLOOKUP($B41,'SAE23'!$D$3:$L$181,7,0)</f>
        <v>60</v>
      </c>
      <c r="Q41">
        <f>+VLOOKUP($B41,basev2!$C$5:$Q$173,14,0)</f>
        <v>60</v>
      </c>
      <c r="R41">
        <f t="shared" si="0"/>
        <v>0</v>
      </c>
      <c r="S41">
        <f>+VLOOKUP($B41,'SAE23'!$D$3:$L$181,9,0)</f>
        <v>10</v>
      </c>
      <c r="T41">
        <f>+VLOOKUP($B41,basev2!$C$5:$Q$173,15,0)</f>
        <v>10</v>
      </c>
      <c r="U41">
        <f t="shared" si="1"/>
        <v>0</v>
      </c>
    </row>
    <row r="42" spans="1:21">
      <c r="A42" s="183" t="s">
        <v>61</v>
      </c>
      <c r="B42" s="183">
        <v>300780038</v>
      </c>
      <c r="C42" s="210" t="s">
        <v>62</v>
      </c>
      <c r="D42" s="183" t="s">
        <v>25</v>
      </c>
      <c r="E42" s="185">
        <v>107204</v>
      </c>
      <c r="F42" s="185">
        <v>87622</v>
      </c>
      <c r="G42" s="185">
        <v>19582</v>
      </c>
      <c r="H42" s="183" t="s">
        <v>928</v>
      </c>
      <c r="I42" s="183" t="s">
        <v>929</v>
      </c>
      <c r="J42" s="183" t="s">
        <v>930</v>
      </c>
      <c r="K42" s="183" t="s">
        <v>931</v>
      </c>
      <c r="L42" s="183" t="s">
        <v>932</v>
      </c>
      <c r="N42" s="185">
        <f>+VLOOKUP(B42,dotpop24!$A$10:$L$178,11,)</f>
        <v>16298292.689999999</v>
      </c>
      <c r="P42">
        <v>335</v>
      </c>
      <c r="Q42">
        <f>+VLOOKUP($B42,basev2!$C$5:$Q$173,14,0)</f>
        <v>335</v>
      </c>
      <c r="R42">
        <f t="shared" si="0"/>
        <v>0</v>
      </c>
      <c r="S42">
        <v>81</v>
      </c>
      <c r="T42">
        <f>+VLOOKUP($B42,basev2!$C$5:$Q$173,15,0)</f>
        <v>81</v>
      </c>
      <c r="U42">
        <f t="shared" si="1"/>
        <v>0</v>
      </c>
    </row>
    <row r="43" spans="1:21">
      <c r="A43" s="183" t="s">
        <v>22</v>
      </c>
      <c r="B43" s="183">
        <v>300780046</v>
      </c>
      <c r="C43" s="183" t="s">
        <v>63</v>
      </c>
      <c r="D43" s="183" t="s">
        <v>25</v>
      </c>
      <c r="E43" s="185">
        <v>16785</v>
      </c>
      <c r="F43" s="185">
        <v>12256</v>
      </c>
      <c r="G43" s="185">
        <v>4529</v>
      </c>
      <c r="H43" s="183" t="s">
        <v>933</v>
      </c>
      <c r="I43" s="183" t="s">
        <v>934</v>
      </c>
      <c r="J43" s="183" t="s">
        <v>935</v>
      </c>
      <c r="K43" s="183" t="s">
        <v>936</v>
      </c>
      <c r="L43" s="183" t="s">
        <v>937</v>
      </c>
      <c r="N43" s="185">
        <f>+VLOOKUP(B43,dotpop24!$A$10:$L$178,11,)</f>
        <v>2717220.26</v>
      </c>
      <c r="P43">
        <f>+VLOOKUP($B43,'SAE23'!$G$3:$L$181,4,0)</f>
        <v>35</v>
      </c>
      <c r="Q43">
        <f>+VLOOKUP($B43,basev2!$C$5:$Q$173,14,0)</f>
        <v>35</v>
      </c>
      <c r="R43">
        <f t="shared" si="0"/>
        <v>0</v>
      </c>
      <c r="S43">
        <f>+VLOOKUP($B43,'SAE23'!$G$3:$L$181,6,0)</f>
        <v>10</v>
      </c>
      <c r="T43">
        <f>+VLOOKUP($B43,basev2!$C$5:$Q$173,15,0)</f>
        <v>10</v>
      </c>
      <c r="U43">
        <f t="shared" si="1"/>
        <v>0</v>
      </c>
    </row>
    <row r="44" spans="1:21">
      <c r="A44" s="183" t="s">
        <v>22</v>
      </c>
      <c r="B44" s="183">
        <v>300780079</v>
      </c>
      <c r="C44" s="183" t="s">
        <v>65</v>
      </c>
      <c r="D44" s="183" t="s">
        <v>25</v>
      </c>
      <c r="E44" s="185">
        <v>18537</v>
      </c>
      <c r="F44" s="185">
        <v>17508</v>
      </c>
      <c r="G44" s="185">
        <v>1029</v>
      </c>
      <c r="H44" s="183" t="s">
        <v>941</v>
      </c>
      <c r="I44" s="183" t="s">
        <v>942</v>
      </c>
      <c r="J44" s="183" t="s">
        <v>943</v>
      </c>
      <c r="K44" s="183" t="s">
        <v>944</v>
      </c>
      <c r="L44" s="183" t="s">
        <v>945</v>
      </c>
      <c r="N44" s="185">
        <f>+VLOOKUP(B44,dotpop24!$A$10:$L$178,11,)</f>
        <v>2781539.34</v>
      </c>
      <c r="P44">
        <f>+VLOOKUP($B44,'SAE23'!$G$3:$L$181,4,0)</f>
        <v>50</v>
      </c>
      <c r="Q44">
        <f>+VLOOKUP($B44,basev2!$C$5:$Q$173,14,0)</f>
        <v>50</v>
      </c>
      <c r="R44">
        <f t="shared" si="0"/>
        <v>0</v>
      </c>
      <c r="S44">
        <f>+VLOOKUP($B44,'SAE23'!$G$3:$L$181,6,0)</f>
        <v>4</v>
      </c>
      <c r="T44">
        <f>+VLOOKUP($B44,basev2!$C$5:$Q$173,15,0)</f>
        <v>4</v>
      </c>
      <c r="U44">
        <f t="shared" si="1"/>
        <v>0</v>
      </c>
    </row>
    <row r="45" spans="1:21">
      <c r="A45" s="183" t="s">
        <v>22</v>
      </c>
      <c r="B45" s="183">
        <v>300780087</v>
      </c>
      <c r="C45" s="183" t="s">
        <v>66</v>
      </c>
      <c r="D45" s="183" t="s">
        <v>25</v>
      </c>
      <c r="E45" s="185">
        <v>17298</v>
      </c>
      <c r="F45" s="185">
        <v>17298</v>
      </c>
      <c r="G45" s="183">
        <v>0</v>
      </c>
      <c r="H45" s="183" t="s">
        <v>946</v>
      </c>
      <c r="I45" s="183" t="s">
        <v>947</v>
      </c>
      <c r="J45" s="183" t="s">
        <v>948</v>
      </c>
      <c r="K45" s="183" t="s">
        <v>949</v>
      </c>
      <c r="L45" s="183" t="s">
        <v>950</v>
      </c>
      <c r="N45" s="185">
        <f>+VLOOKUP(B45,dotpop24!$A$10:$L$178,11,)</f>
        <v>1611791.74</v>
      </c>
      <c r="P45">
        <f>+VLOOKUP($B45,'SAE23'!$G$3:$L$181,4,0)</f>
        <v>44</v>
      </c>
      <c r="Q45">
        <f>+VLOOKUP($B45,basev2!$C$5:$Q$173,14,0)</f>
        <v>44</v>
      </c>
      <c r="R45">
        <f t="shared" si="0"/>
        <v>0</v>
      </c>
      <c r="S45">
        <f>+VLOOKUP($B45,'SAE23'!$G$3:$L$181,6,0)</f>
        <v>0</v>
      </c>
      <c r="T45">
        <f>+VLOOKUP($B45,basev2!$C$5:$Q$173,15,0)</f>
        <v>0</v>
      </c>
      <c r="U45">
        <f t="shared" si="1"/>
        <v>0</v>
      </c>
    </row>
    <row r="46" spans="1:21">
      <c r="A46" s="183" t="s">
        <v>22</v>
      </c>
      <c r="B46" s="183">
        <v>300780095</v>
      </c>
      <c r="C46" s="183" t="s">
        <v>67</v>
      </c>
      <c r="D46" s="183" t="s">
        <v>25</v>
      </c>
      <c r="E46" s="185">
        <v>7524</v>
      </c>
      <c r="F46" s="185">
        <v>5610</v>
      </c>
      <c r="G46" s="185">
        <v>1914</v>
      </c>
      <c r="H46" s="183" t="s">
        <v>951</v>
      </c>
      <c r="I46" s="183" t="s">
        <v>952</v>
      </c>
      <c r="J46" s="183" t="s">
        <v>953</v>
      </c>
      <c r="K46" s="183" t="s">
        <v>811</v>
      </c>
      <c r="L46" s="183" t="s">
        <v>954</v>
      </c>
      <c r="N46" s="185">
        <f>+VLOOKUP(B46,dotpop24!$A$10:$L$178,11,)</f>
        <v>928588.43</v>
      </c>
      <c r="P46">
        <f>+VLOOKUP($B46,'SAE23'!$G$3:$L$181,4,0)</f>
        <v>14</v>
      </c>
      <c r="Q46">
        <f>+VLOOKUP($B46,basev2!$C$5:$Q$173,14,0)</f>
        <v>14</v>
      </c>
      <c r="R46">
        <f t="shared" si="0"/>
        <v>0</v>
      </c>
      <c r="S46">
        <f>+VLOOKUP($B46,'SAE23'!$G$3:$L$181,6,0)</f>
        <v>10</v>
      </c>
      <c r="T46">
        <f>+VLOOKUP($B46,basev2!$C$5:$Q$173,15,0)</f>
        <v>10</v>
      </c>
      <c r="U46">
        <f t="shared" si="1"/>
        <v>0</v>
      </c>
    </row>
    <row r="47" spans="1:21">
      <c r="A47" s="183" t="s">
        <v>33</v>
      </c>
      <c r="B47" s="183">
        <v>300780111</v>
      </c>
      <c r="C47" s="183" t="s">
        <v>68</v>
      </c>
      <c r="D47" s="183" t="s">
        <v>25</v>
      </c>
      <c r="E47" s="185">
        <v>20883</v>
      </c>
      <c r="F47" s="185">
        <v>20883</v>
      </c>
      <c r="G47" s="183">
        <v>0</v>
      </c>
      <c r="H47" s="183" t="s">
        <v>955</v>
      </c>
      <c r="I47" s="183" t="s">
        <v>956</v>
      </c>
      <c r="J47" s="183" t="s">
        <v>957</v>
      </c>
      <c r="K47" s="183" t="s">
        <v>958</v>
      </c>
      <c r="L47" s="183" t="s">
        <v>959</v>
      </c>
      <c r="N47" s="185">
        <f>+VLOOKUP(B47,dotpop24!$A$10:$L$178,11,)</f>
        <v>1925510.42</v>
      </c>
      <c r="P47">
        <f>+VLOOKUP($B47,'SAE23'!$D$3:$L$181,7,0)</f>
        <v>60</v>
      </c>
      <c r="Q47">
        <f>+VLOOKUP($B47,basev2!$C$5:$Q$173,14,0)</f>
        <v>60</v>
      </c>
      <c r="R47">
        <f t="shared" si="0"/>
        <v>0</v>
      </c>
      <c r="S47">
        <f>+VLOOKUP($B47,'SAE23'!$D$3:$L$181,9,0)</f>
        <v>0</v>
      </c>
      <c r="T47">
        <f>+VLOOKUP($B47,basev2!$C$5:$Q$173,15,0)</f>
        <v>0</v>
      </c>
      <c r="U47">
        <f t="shared" si="1"/>
        <v>0</v>
      </c>
    </row>
    <row r="48" spans="1:21">
      <c r="A48" s="183" t="s">
        <v>30</v>
      </c>
      <c r="B48" s="183">
        <v>300780285</v>
      </c>
      <c r="C48" s="183" t="s">
        <v>69</v>
      </c>
      <c r="D48" s="183" t="s">
        <v>25</v>
      </c>
      <c r="E48" s="185">
        <v>45982</v>
      </c>
      <c r="F48" s="185">
        <v>26231</v>
      </c>
      <c r="G48" s="185">
        <v>19751</v>
      </c>
      <c r="H48" s="183" t="s">
        <v>960</v>
      </c>
      <c r="I48" s="183" t="s">
        <v>961</v>
      </c>
      <c r="J48" s="183" t="s">
        <v>962</v>
      </c>
      <c r="K48" s="183" t="s">
        <v>963</v>
      </c>
      <c r="L48" s="183" t="s">
        <v>964</v>
      </c>
      <c r="N48" s="185">
        <f>+VLOOKUP(B48,dotpop24!$A$10:$L$178,11,)</f>
        <v>3706155</v>
      </c>
      <c r="P48">
        <f>+VLOOKUP($B48,'SAE23'!$D$3:$L$181,7,0)</f>
        <v>75</v>
      </c>
      <c r="Q48">
        <f>+VLOOKUP($B48,basev2!$C$5:$Q$173,14,0)</f>
        <v>75</v>
      </c>
      <c r="R48">
        <f t="shared" si="0"/>
        <v>0</v>
      </c>
      <c r="S48">
        <f>+VLOOKUP($B48,'SAE23'!$D$3:$L$181,9,0)</f>
        <v>22</v>
      </c>
      <c r="T48">
        <f>+VLOOKUP($B48,basev2!$C$5:$Q$173,15,0)</f>
        <v>22</v>
      </c>
      <c r="U48">
        <f t="shared" si="1"/>
        <v>0</v>
      </c>
    </row>
    <row r="49" spans="1:21">
      <c r="A49" s="183" t="s">
        <v>30</v>
      </c>
      <c r="B49" s="183">
        <v>300780442</v>
      </c>
      <c r="C49" s="183" t="s">
        <v>70</v>
      </c>
      <c r="D49" s="183" t="s">
        <v>25</v>
      </c>
      <c r="E49" s="185">
        <v>17588</v>
      </c>
      <c r="F49" s="185">
        <v>17588</v>
      </c>
      <c r="G49" s="183">
        <v>0</v>
      </c>
      <c r="H49" s="183" t="s">
        <v>965</v>
      </c>
      <c r="I49" s="183" t="s">
        <v>966</v>
      </c>
      <c r="J49" s="183" t="s">
        <v>967</v>
      </c>
      <c r="K49" s="183" t="s">
        <v>968</v>
      </c>
      <c r="L49" s="183" t="s">
        <v>969</v>
      </c>
      <c r="N49" s="185">
        <f>+VLOOKUP(B49,dotpop24!$A$10:$L$178,11,)</f>
        <v>1330732</v>
      </c>
      <c r="P49">
        <f>+VLOOKUP($B49,'SAE23'!$D$3:$L$181,7,0)</f>
        <v>59</v>
      </c>
      <c r="Q49">
        <f>+VLOOKUP($B49,basev2!$C$5:$Q$173,14,0)</f>
        <v>59</v>
      </c>
      <c r="R49">
        <f t="shared" si="0"/>
        <v>0</v>
      </c>
      <c r="S49">
        <f>+VLOOKUP($B49,'SAE23'!$D$3:$L$181,9,0)</f>
        <v>0</v>
      </c>
      <c r="T49">
        <f>+VLOOKUP($B49,basev2!$C$5:$Q$173,15,0)</f>
        <v>0</v>
      </c>
      <c r="U49">
        <f t="shared" si="1"/>
        <v>0</v>
      </c>
    </row>
    <row r="50" spans="1:21" ht="30">
      <c r="A50" s="183" t="s">
        <v>30</v>
      </c>
      <c r="B50" s="183">
        <v>300780491</v>
      </c>
      <c r="C50" s="183" t="s">
        <v>71</v>
      </c>
      <c r="D50" s="183" t="s">
        <v>25</v>
      </c>
      <c r="E50" s="185">
        <v>32556</v>
      </c>
      <c r="F50" s="185">
        <v>23932</v>
      </c>
      <c r="G50" s="185">
        <v>8624</v>
      </c>
      <c r="H50" s="183" t="s">
        <v>970</v>
      </c>
      <c r="I50" s="183" t="s">
        <v>971</v>
      </c>
      <c r="J50" s="183" t="s">
        <v>972</v>
      </c>
      <c r="K50" s="183" t="s">
        <v>973</v>
      </c>
      <c r="L50" s="183" t="s">
        <v>974</v>
      </c>
      <c r="N50" s="185">
        <f>+VLOOKUP(B50,dotpop24!$A$10:$L$178,11,)</f>
        <v>2021002</v>
      </c>
      <c r="P50">
        <f>+VLOOKUP($B50,'SAE23'!$D$3:$L$181,7,0)</f>
        <v>75</v>
      </c>
      <c r="Q50">
        <f>+VLOOKUP($B50,basev2!$C$5:$Q$173,14,0)</f>
        <v>75</v>
      </c>
      <c r="R50">
        <f t="shared" si="0"/>
        <v>0</v>
      </c>
      <c r="S50">
        <f>+VLOOKUP($B50,'SAE23'!$D$3:$L$181,9,0)</f>
        <v>30</v>
      </c>
      <c r="T50">
        <f>+VLOOKUP($B50,basev2!$C$5:$Q$173,15,0)</f>
        <v>30</v>
      </c>
      <c r="U50">
        <f t="shared" si="1"/>
        <v>0</v>
      </c>
    </row>
    <row r="51" spans="1:21">
      <c r="A51" s="183" t="s">
        <v>22</v>
      </c>
      <c r="B51" s="183">
        <v>300781010</v>
      </c>
      <c r="C51" s="183" t="s">
        <v>72</v>
      </c>
      <c r="D51" s="183" t="s">
        <v>25</v>
      </c>
      <c r="E51" s="185">
        <v>6472</v>
      </c>
      <c r="F51" s="185">
        <v>6384</v>
      </c>
      <c r="G51" s="183">
        <v>88</v>
      </c>
      <c r="H51" s="183" t="s">
        <v>975</v>
      </c>
      <c r="I51" s="183" t="s">
        <v>976</v>
      </c>
      <c r="J51" s="183" t="s">
        <v>977</v>
      </c>
      <c r="K51" s="183" t="s">
        <v>978</v>
      </c>
      <c r="L51" s="183" t="s">
        <v>979</v>
      </c>
      <c r="N51" s="185">
        <f>+VLOOKUP(B51,dotpop24!$A$10:$L$178,11,)</f>
        <v>1346916.85</v>
      </c>
      <c r="P51">
        <f>+VLOOKUP($B51,'SAE23'!$G$3:$L$181,4,0)</f>
        <v>34</v>
      </c>
      <c r="Q51">
        <f>+VLOOKUP($B51,basev2!$C$5:$Q$173,14,0)</f>
        <v>34</v>
      </c>
      <c r="R51">
        <f t="shared" si="0"/>
        <v>0</v>
      </c>
      <c r="S51">
        <f>+VLOOKUP($B51,'SAE23'!$G$3:$L$181,6,0)</f>
        <v>0</v>
      </c>
      <c r="T51">
        <f>+VLOOKUP($B51,basev2!$C$5:$Q$173,15,0)</f>
        <v>0</v>
      </c>
      <c r="U51">
        <f t="shared" si="1"/>
        <v>0</v>
      </c>
    </row>
    <row r="52" spans="1:21" ht="30">
      <c r="A52" s="183" t="s">
        <v>30</v>
      </c>
      <c r="B52" s="183">
        <v>300781440</v>
      </c>
      <c r="C52" s="183" t="s">
        <v>73</v>
      </c>
      <c r="D52" s="183" t="s">
        <v>25</v>
      </c>
      <c r="E52" s="185">
        <v>16210</v>
      </c>
      <c r="F52" s="185">
        <v>16210</v>
      </c>
      <c r="G52" s="183">
        <v>0</v>
      </c>
      <c r="H52" s="183" t="s">
        <v>980</v>
      </c>
      <c r="I52" s="183" t="s">
        <v>981</v>
      </c>
      <c r="J52" s="183" t="s">
        <v>982</v>
      </c>
      <c r="K52" s="183" t="s">
        <v>983</v>
      </c>
      <c r="L52" s="183" t="s">
        <v>984</v>
      </c>
      <c r="N52" s="185">
        <f>+VLOOKUP(B52,dotpop24!$A$10:$L$178,11,)</f>
        <v>1192590.17</v>
      </c>
      <c r="P52">
        <f>+VLOOKUP($B52,'SAE23'!$D$3:$L$181,7,0)</f>
        <v>63</v>
      </c>
      <c r="Q52">
        <f>+VLOOKUP($B52,basev2!$C$5:$Q$173,14,0)</f>
        <v>63</v>
      </c>
      <c r="R52">
        <f t="shared" si="0"/>
        <v>0</v>
      </c>
      <c r="S52">
        <f>+VLOOKUP($B52,'SAE23'!$D$3:$L$181,9,0)</f>
        <v>0</v>
      </c>
      <c r="T52">
        <f>+VLOOKUP($B52,basev2!$C$5:$Q$173,15,0)</f>
        <v>0</v>
      </c>
      <c r="U52">
        <f t="shared" si="1"/>
        <v>0</v>
      </c>
    </row>
    <row r="53" spans="1:21">
      <c r="A53" s="183" t="s">
        <v>33</v>
      </c>
      <c r="B53" s="183">
        <v>300786274</v>
      </c>
      <c r="C53" s="183" t="s">
        <v>74</v>
      </c>
      <c r="D53" s="183" t="s">
        <v>25</v>
      </c>
      <c r="E53" s="185">
        <v>7799</v>
      </c>
      <c r="F53" s="185">
        <v>6076</v>
      </c>
      <c r="G53" s="185">
        <v>1723</v>
      </c>
      <c r="H53" s="183" t="s">
        <v>985</v>
      </c>
      <c r="I53" s="183" t="s">
        <v>986</v>
      </c>
      <c r="J53" s="183" t="s">
        <v>987</v>
      </c>
      <c r="K53" s="183" t="s">
        <v>988</v>
      </c>
      <c r="L53" s="183" t="s">
        <v>989</v>
      </c>
      <c r="N53" s="185">
        <f>+VLOOKUP(B53,dotpop24!$A$10:$L$178,11,)</f>
        <v>1667786.71</v>
      </c>
      <c r="P53">
        <f>+VLOOKUP($B53,'SAE23'!$D$3:$L$181,7,0)</f>
        <v>20</v>
      </c>
      <c r="Q53">
        <f>+VLOOKUP($B53,basev2!$C$5:$Q$173,14,0)</f>
        <v>20</v>
      </c>
      <c r="R53">
        <f t="shared" si="0"/>
        <v>0</v>
      </c>
      <c r="S53">
        <f>+VLOOKUP($B53,'SAE23'!$D$3:$L$181,9,0)</f>
        <v>8</v>
      </c>
      <c r="T53">
        <f>+VLOOKUP($B53,basev2!$C$5:$Q$173,15,0)</f>
        <v>8</v>
      </c>
      <c r="U53">
        <f t="shared" si="1"/>
        <v>0</v>
      </c>
    </row>
    <row r="54" spans="1:21">
      <c r="A54" s="183" t="s">
        <v>33</v>
      </c>
      <c r="B54" s="183">
        <v>310014329</v>
      </c>
      <c r="C54" s="183" t="s">
        <v>75</v>
      </c>
      <c r="D54" s="183" t="s">
        <v>25</v>
      </c>
      <c r="E54" s="185">
        <v>3273</v>
      </c>
      <c r="F54" s="185">
        <v>3273</v>
      </c>
      <c r="G54" s="183">
        <v>0</v>
      </c>
      <c r="H54" s="183" t="s">
        <v>990</v>
      </c>
      <c r="I54" s="183" t="s">
        <v>991</v>
      </c>
      <c r="J54" s="183" t="s">
        <v>992</v>
      </c>
      <c r="K54" s="183" t="s">
        <v>993</v>
      </c>
      <c r="L54" s="183" t="s">
        <v>994</v>
      </c>
      <c r="N54" s="185">
        <f>+VLOOKUP(B54,dotpop24!$A$10:$L$178,11,)</f>
        <v>1243549.19</v>
      </c>
      <c r="P54">
        <f>+VLOOKUP($B54,'SAE23'!$D$3:$L$181,7,0)</f>
        <v>15</v>
      </c>
      <c r="Q54">
        <f>+VLOOKUP($B54,basev2!$C$5:$Q$173,14,0)</f>
        <v>15</v>
      </c>
      <c r="R54">
        <f t="shared" si="0"/>
        <v>0</v>
      </c>
      <c r="S54">
        <f>+VLOOKUP($B54,'SAE23'!$D$3:$L$181,9,0)</f>
        <v>0</v>
      </c>
      <c r="T54">
        <f>+VLOOKUP($B54,basev2!$C$5:$Q$173,15,0)</f>
        <v>0</v>
      </c>
      <c r="U54">
        <f t="shared" si="1"/>
        <v>0</v>
      </c>
    </row>
    <row r="55" spans="1:21" ht="30">
      <c r="A55" s="183" t="s">
        <v>30</v>
      </c>
      <c r="B55" s="183">
        <v>310020938</v>
      </c>
      <c r="C55" s="183" t="s">
        <v>76</v>
      </c>
      <c r="D55" s="183" t="s">
        <v>25</v>
      </c>
      <c r="E55" s="185">
        <v>49031</v>
      </c>
      <c r="F55" s="185">
        <v>43077</v>
      </c>
      <c r="G55" s="185">
        <v>5954</v>
      </c>
      <c r="H55" s="183" t="s">
        <v>995</v>
      </c>
      <c r="I55" s="183" t="s">
        <v>996</v>
      </c>
      <c r="J55" s="183" t="s">
        <v>997</v>
      </c>
      <c r="K55" s="183" t="s">
        <v>998</v>
      </c>
      <c r="L55" s="183" t="s">
        <v>999</v>
      </c>
      <c r="N55" s="185">
        <f>+VLOOKUP(B55,dotpop24!$A$10:$L$178,11,)</f>
        <v>4160004</v>
      </c>
      <c r="P55">
        <f>+VLOOKUP($B55,'SAE23'!$D$3:$L$181,7,0)</f>
        <v>115</v>
      </c>
      <c r="Q55">
        <f>+VLOOKUP($B55,basev2!$C$5:$Q$173,14,0)</f>
        <v>115</v>
      </c>
      <c r="R55">
        <f t="shared" si="0"/>
        <v>0</v>
      </c>
      <c r="S55">
        <f>+VLOOKUP($B55,'SAE23'!$D$3:$L$181,9,0)</f>
        <v>10</v>
      </c>
      <c r="T55">
        <f>+VLOOKUP($B55,basev2!$C$5:$Q$173,15,0)</f>
        <v>10</v>
      </c>
      <c r="U55">
        <f t="shared" si="1"/>
        <v>0</v>
      </c>
    </row>
    <row r="56" spans="1:21">
      <c r="A56" s="183" t="s">
        <v>30</v>
      </c>
      <c r="B56" s="183">
        <v>310021571</v>
      </c>
      <c r="C56" s="183" t="s">
        <v>77</v>
      </c>
      <c r="D56" s="183" t="s">
        <v>25</v>
      </c>
      <c r="E56" s="185">
        <v>42844</v>
      </c>
      <c r="F56" s="185">
        <v>40074</v>
      </c>
      <c r="G56" s="185">
        <v>2770</v>
      </c>
      <c r="H56" s="183" t="s">
        <v>1000</v>
      </c>
      <c r="I56" s="183" t="s">
        <v>1001</v>
      </c>
      <c r="J56" s="183" t="s">
        <v>1002</v>
      </c>
      <c r="K56" s="183" t="s">
        <v>1003</v>
      </c>
      <c r="L56" s="183" t="s">
        <v>1004</v>
      </c>
      <c r="N56" s="185">
        <f>+VLOOKUP(B56,dotpop24!$A$10:$L$178,11,)</f>
        <v>3083998.81</v>
      </c>
      <c r="P56">
        <f>+VLOOKUP($B56,'SAE23'!$D$3:$L$181,7,0)</f>
        <v>113</v>
      </c>
      <c r="Q56">
        <f>+VLOOKUP($B56,basev2!$C$5:$Q$173,14,0)</f>
        <v>113</v>
      </c>
      <c r="R56">
        <f t="shared" si="0"/>
        <v>0</v>
      </c>
      <c r="S56">
        <f>+VLOOKUP($B56,'SAE23'!$D$3:$L$181,9,0)</f>
        <v>15</v>
      </c>
      <c r="T56">
        <f>+VLOOKUP($B56,basev2!$C$5:$Q$173,15,0)</f>
        <v>15</v>
      </c>
      <c r="U56">
        <f t="shared" si="1"/>
        <v>0</v>
      </c>
    </row>
    <row r="57" spans="1:21">
      <c r="A57" s="183" t="s">
        <v>30</v>
      </c>
      <c r="B57" s="183">
        <v>310023007</v>
      </c>
      <c r="C57" s="183" t="s">
        <v>78</v>
      </c>
      <c r="D57" s="183" t="s">
        <v>25</v>
      </c>
      <c r="E57" s="185">
        <v>11737</v>
      </c>
      <c r="F57" s="185">
        <v>11737</v>
      </c>
      <c r="G57" s="183">
        <v>0</v>
      </c>
      <c r="H57" s="183" t="s">
        <v>1005</v>
      </c>
      <c r="I57" s="183" t="s">
        <v>1006</v>
      </c>
      <c r="J57" s="183" t="s">
        <v>1007</v>
      </c>
      <c r="K57" s="183" t="s">
        <v>1008</v>
      </c>
      <c r="L57" s="183" t="s">
        <v>1009</v>
      </c>
      <c r="N57" s="185">
        <f>+VLOOKUP(B57,dotpop24!$A$10:$L$178,11,)</f>
        <v>669998</v>
      </c>
      <c r="P57">
        <f>+VLOOKUP($B57,'SAE23'!$D$3:$L$181,7,0)</f>
        <v>44</v>
      </c>
      <c r="Q57">
        <f>+VLOOKUP($B57,basev2!$C$5:$Q$173,14,0)</f>
        <v>44</v>
      </c>
      <c r="R57">
        <f t="shared" si="0"/>
        <v>0</v>
      </c>
      <c r="S57">
        <f>+VLOOKUP($B57,'SAE23'!$D$3:$L$181,9,0)</f>
        <v>0</v>
      </c>
      <c r="T57">
        <f>+VLOOKUP($B57,basev2!$C$5:$Q$173,15,0)</f>
        <v>0</v>
      </c>
      <c r="U57">
        <f t="shared" si="1"/>
        <v>0</v>
      </c>
    </row>
    <row r="58" spans="1:21">
      <c r="A58" s="183" t="s">
        <v>30</v>
      </c>
      <c r="B58" s="183">
        <v>310026927</v>
      </c>
      <c r="C58" s="183" t="s">
        <v>79</v>
      </c>
      <c r="D58" s="183" t="s">
        <v>25</v>
      </c>
      <c r="E58" s="185">
        <v>8971</v>
      </c>
      <c r="F58" s="185">
        <v>8971</v>
      </c>
      <c r="G58" s="183">
        <v>0</v>
      </c>
      <c r="H58" s="183" t="s">
        <v>1010</v>
      </c>
      <c r="I58" s="183" t="s">
        <v>1011</v>
      </c>
      <c r="J58" s="183" t="s">
        <v>1012</v>
      </c>
      <c r="K58" s="183" t="s">
        <v>1013</v>
      </c>
      <c r="L58" s="183" t="s">
        <v>1014</v>
      </c>
      <c r="N58" s="185">
        <f>+VLOOKUP(B58,dotpop24!$A$10:$L$178,11,)</f>
        <v>636910</v>
      </c>
      <c r="P58">
        <f>+VLOOKUP($B58,'SAE23'!$D$3:$L$181,7,0)</f>
        <v>31</v>
      </c>
      <c r="Q58">
        <f>+VLOOKUP($B58,basev2!$C$5:$Q$173,14,0)</f>
        <v>31</v>
      </c>
      <c r="R58">
        <f t="shared" si="0"/>
        <v>0</v>
      </c>
      <c r="S58">
        <f>+VLOOKUP($B58,'SAE23'!$D$3:$L$181,9,0)</f>
        <v>0</v>
      </c>
      <c r="T58">
        <f>+VLOOKUP($B58,basev2!$C$5:$Q$173,15,0)</f>
        <v>0</v>
      </c>
      <c r="U58">
        <f t="shared" si="1"/>
        <v>0</v>
      </c>
    </row>
    <row r="59" spans="1:21">
      <c r="A59" s="183" t="s">
        <v>22</v>
      </c>
      <c r="B59" s="183">
        <v>310180013</v>
      </c>
      <c r="C59" s="183" t="s">
        <v>80</v>
      </c>
      <c r="D59" s="183" t="s">
        <v>25</v>
      </c>
      <c r="E59" s="185">
        <v>18402</v>
      </c>
      <c r="F59" s="185">
        <v>14802</v>
      </c>
      <c r="G59" s="185">
        <v>3600</v>
      </c>
      <c r="H59" s="183" t="s">
        <v>1015</v>
      </c>
      <c r="I59" s="183" t="s">
        <v>1016</v>
      </c>
      <c r="J59" s="183" t="s">
        <v>1017</v>
      </c>
      <c r="K59" s="183" t="s">
        <v>1018</v>
      </c>
      <c r="L59" s="183" t="s">
        <v>1019</v>
      </c>
      <c r="N59" s="185">
        <f>+VLOOKUP(B59,dotpop24!$A$10:$L$178,11,)</f>
        <v>3490755.35</v>
      </c>
      <c r="P59">
        <v>76</v>
      </c>
      <c r="Q59">
        <f>+VLOOKUP($B59,basev2!$C$5:$Q$173,14,0)</f>
        <v>76</v>
      </c>
      <c r="R59">
        <f t="shared" si="0"/>
        <v>0</v>
      </c>
      <c r="S59">
        <v>7</v>
      </c>
      <c r="T59">
        <f>+VLOOKUP($B59,basev2!$C$5:$Q$173,15,0)</f>
        <v>7</v>
      </c>
      <c r="U59">
        <f t="shared" si="1"/>
        <v>0</v>
      </c>
    </row>
    <row r="60" spans="1:21">
      <c r="A60" s="183" t="s">
        <v>30</v>
      </c>
      <c r="B60" s="183">
        <v>310780150</v>
      </c>
      <c r="C60" s="183" t="s">
        <v>81</v>
      </c>
      <c r="D60" s="183" t="s">
        <v>25</v>
      </c>
      <c r="E60" s="185">
        <v>14436</v>
      </c>
      <c r="F60" s="185">
        <v>1574</v>
      </c>
      <c r="G60" s="185">
        <v>12862</v>
      </c>
      <c r="H60" s="183" t="s">
        <v>923</v>
      </c>
      <c r="I60" s="183" t="s">
        <v>1020</v>
      </c>
      <c r="J60" s="183" t="s">
        <v>1021</v>
      </c>
      <c r="K60" s="183" t="s">
        <v>859</v>
      </c>
      <c r="L60" s="183" t="s">
        <v>1022</v>
      </c>
      <c r="N60" s="185">
        <f>+VLOOKUP(B60,dotpop24!$A$10:$L$178,11,)</f>
        <v>676421.02</v>
      </c>
      <c r="P60">
        <f>+VLOOKUP($B60,'SAE23'!$D$3:$L$181,7,0)</f>
        <v>16</v>
      </c>
      <c r="Q60">
        <f>+VLOOKUP($B60,basev2!$C$5:$Q$173,14,0)</f>
        <v>16</v>
      </c>
      <c r="R60">
        <f t="shared" si="0"/>
        <v>0</v>
      </c>
      <c r="S60">
        <f>+VLOOKUP($B60,'SAE23'!$D$3:$L$181,9,0)</f>
        <v>40</v>
      </c>
      <c r="T60">
        <f>+VLOOKUP($B60,basev2!$C$5:$Q$173,15,0)</f>
        <v>40</v>
      </c>
      <c r="U60">
        <f t="shared" si="1"/>
        <v>0</v>
      </c>
    </row>
    <row r="61" spans="1:21">
      <c r="A61" s="183" t="s">
        <v>30</v>
      </c>
      <c r="B61" s="183">
        <v>310780234</v>
      </c>
      <c r="C61" s="183" t="s">
        <v>82</v>
      </c>
      <c r="D61" s="183" t="s">
        <v>25</v>
      </c>
      <c r="E61" s="185">
        <v>45466</v>
      </c>
      <c r="F61" s="185">
        <v>35571</v>
      </c>
      <c r="G61" s="185">
        <v>9895</v>
      </c>
      <c r="H61" s="183" t="s">
        <v>1023</v>
      </c>
      <c r="I61" s="183" t="s">
        <v>1024</v>
      </c>
      <c r="J61" s="183" t="s">
        <v>1025</v>
      </c>
      <c r="K61" s="183" t="s">
        <v>1026</v>
      </c>
      <c r="L61" s="183" t="s">
        <v>1027</v>
      </c>
      <c r="N61" s="185">
        <f>+VLOOKUP(B61,dotpop24!$A$10:$L$178,11,)</f>
        <v>3329566.15</v>
      </c>
      <c r="P61">
        <f>+VLOOKUP($B61,'SAE23'!$D$3:$L$181,7,0)</f>
        <v>105</v>
      </c>
      <c r="Q61">
        <f>+VLOOKUP($B61,basev2!$C$5:$Q$173,14,0)</f>
        <v>105</v>
      </c>
      <c r="R61">
        <f t="shared" si="0"/>
        <v>0</v>
      </c>
      <c r="S61">
        <f>+VLOOKUP($B61,'SAE23'!$D$3:$L$181,9,0)</f>
        <v>15</v>
      </c>
      <c r="T61">
        <f>+VLOOKUP($B61,basev2!$C$5:$Q$173,15,0)</f>
        <v>15</v>
      </c>
      <c r="U61">
        <f t="shared" si="1"/>
        <v>0</v>
      </c>
    </row>
    <row r="62" spans="1:21">
      <c r="A62" s="183" t="s">
        <v>30</v>
      </c>
      <c r="B62" s="183">
        <v>310780366</v>
      </c>
      <c r="C62" s="183" t="s">
        <v>83</v>
      </c>
      <c r="D62" s="183" t="s">
        <v>25</v>
      </c>
      <c r="E62" s="185">
        <v>54581</v>
      </c>
      <c r="F62" s="185">
        <v>47934</v>
      </c>
      <c r="G62" s="185">
        <v>6647</v>
      </c>
      <c r="H62" s="183" t="s">
        <v>1028</v>
      </c>
      <c r="I62" s="183" t="s">
        <v>1029</v>
      </c>
      <c r="J62" s="183" t="s">
        <v>842</v>
      </c>
      <c r="K62" s="183" t="s">
        <v>1030</v>
      </c>
      <c r="L62" s="183" t="s">
        <v>1031</v>
      </c>
      <c r="N62" s="185">
        <f>+VLOOKUP(B62,dotpop24!$A$10:$L$178,11,)</f>
        <v>3255836</v>
      </c>
      <c r="P62">
        <f>+VLOOKUP($B62,'SAE23'!$D$3:$L$181,7,0)</f>
        <v>115</v>
      </c>
      <c r="Q62">
        <f>+VLOOKUP($B62,basev2!$C$5:$Q$173,14,0)</f>
        <v>115</v>
      </c>
      <c r="R62">
        <f t="shared" si="0"/>
        <v>0</v>
      </c>
      <c r="S62">
        <f>+VLOOKUP($B62,'SAE23'!$D$3:$L$181,9,0)</f>
        <v>11</v>
      </c>
      <c r="T62">
        <f>+VLOOKUP($B62,basev2!$C$5:$Q$173,15,0)</f>
        <v>11</v>
      </c>
      <c r="U62">
        <f t="shared" si="1"/>
        <v>0</v>
      </c>
    </row>
    <row r="63" spans="1:21">
      <c r="A63" s="183" t="s">
        <v>30</v>
      </c>
      <c r="B63" s="183">
        <v>310780374</v>
      </c>
      <c r="C63" s="183" t="s">
        <v>84</v>
      </c>
      <c r="D63" s="183" t="s">
        <v>25</v>
      </c>
      <c r="E63" s="185">
        <v>56203</v>
      </c>
      <c r="F63" s="185">
        <v>53408</v>
      </c>
      <c r="G63" s="185">
        <v>2795</v>
      </c>
      <c r="H63" s="183" t="s">
        <v>955</v>
      </c>
      <c r="I63" s="183" t="s">
        <v>1032</v>
      </c>
      <c r="J63" s="183" t="s">
        <v>1033</v>
      </c>
      <c r="K63" s="183" t="s">
        <v>805</v>
      </c>
      <c r="L63" s="183" t="s">
        <v>1034</v>
      </c>
      <c r="N63" s="185">
        <f>+VLOOKUP(B63,dotpop24!$A$10:$L$178,11,)</f>
        <v>1706232.94</v>
      </c>
      <c r="P63">
        <f>+VLOOKUP($B63,'SAE23'!$D$3:$L$181,7,0)</f>
        <v>148</v>
      </c>
      <c r="Q63">
        <f>+VLOOKUP($B63,basev2!$C$5:$Q$173,14,0)</f>
        <v>148</v>
      </c>
      <c r="R63">
        <f t="shared" si="0"/>
        <v>0</v>
      </c>
      <c r="S63">
        <f>+VLOOKUP($B63,'SAE23'!$D$3:$L$181,9,0)</f>
        <v>15</v>
      </c>
      <c r="T63">
        <f>+VLOOKUP($B63,basev2!$C$5:$Q$173,15,0)</f>
        <v>15</v>
      </c>
      <c r="U63">
        <f t="shared" si="1"/>
        <v>0</v>
      </c>
    </row>
    <row r="64" spans="1:21">
      <c r="A64" s="183" t="s">
        <v>22</v>
      </c>
      <c r="B64" s="183">
        <v>310780671</v>
      </c>
      <c r="C64" s="183" t="s">
        <v>86</v>
      </c>
      <c r="D64" s="183" t="s">
        <v>25</v>
      </c>
      <c r="E64" s="185">
        <v>7190</v>
      </c>
      <c r="F64" s="185">
        <v>7190</v>
      </c>
      <c r="G64" s="183">
        <v>0</v>
      </c>
      <c r="H64" s="183" t="s">
        <v>840</v>
      </c>
      <c r="I64" s="183" t="s">
        <v>1040</v>
      </c>
      <c r="J64" s="183" t="s">
        <v>1041</v>
      </c>
      <c r="K64" s="183" t="s">
        <v>1042</v>
      </c>
      <c r="L64" s="183" t="s">
        <v>1043</v>
      </c>
      <c r="N64" s="185">
        <f>+VLOOKUP(B64,dotpop24!$A$10:$L$178,11,)</f>
        <v>890940.44</v>
      </c>
      <c r="P64">
        <f>+VLOOKUP($B64,'SAE23'!$G$3:$L$181,4,0)</f>
        <v>20</v>
      </c>
      <c r="Q64">
        <f>+VLOOKUP($B64,basev2!$C$5:$Q$173,14,0)</f>
        <v>20</v>
      </c>
      <c r="R64">
        <f t="shared" si="0"/>
        <v>0</v>
      </c>
      <c r="S64">
        <f>+VLOOKUP($B64,'SAE23'!$G$3:$L$181,6,0)</f>
        <v>0</v>
      </c>
      <c r="T64">
        <f>+VLOOKUP($B64,basev2!$C$5:$Q$173,15,0)</f>
        <v>0</v>
      </c>
      <c r="U64">
        <f t="shared" si="1"/>
        <v>0</v>
      </c>
    </row>
    <row r="65" spans="1:21">
      <c r="A65" s="183" t="s">
        <v>22</v>
      </c>
      <c r="B65" s="183">
        <v>310780713</v>
      </c>
      <c r="C65" s="183" t="s">
        <v>87</v>
      </c>
      <c r="D65" s="183" t="s">
        <v>25</v>
      </c>
      <c r="E65" s="185">
        <v>16083</v>
      </c>
      <c r="F65" s="185">
        <v>16083</v>
      </c>
      <c r="G65" s="183">
        <v>0</v>
      </c>
      <c r="H65" s="183" t="s">
        <v>1044</v>
      </c>
      <c r="I65" s="183" t="s">
        <v>1045</v>
      </c>
      <c r="J65" s="183" t="s">
        <v>1046</v>
      </c>
      <c r="K65" s="183" t="s">
        <v>1047</v>
      </c>
      <c r="L65" s="183" t="s">
        <v>1048</v>
      </c>
      <c r="N65" s="185">
        <f>+VLOOKUP(B65,dotpop24!$A$10:$L$178,11,)</f>
        <v>1869425.08</v>
      </c>
      <c r="P65">
        <f>+VLOOKUP($B65,'SAE23'!$G$3:$L$181,4,0)</f>
        <v>51</v>
      </c>
      <c r="Q65">
        <f>+VLOOKUP($B65,basev2!$C$5:$Q$173,14,0)</f>
        <v>51</v>
      </c>
      <c r="R65">
        <f t="shared" si="0"/>
        <v>0</v>
      </c>
      <c r="S65">
        <f>+VLOOKUP($B65,'SAE23'!$G$3:$L$181,6,0)</f>
        <v>4</v>
      </c>
      <c r="T65">
        <f>+VLOOKUP($B65,basev2!$C$5:$Q$173,15,0)</f>
        <v>4</v>
      </c>
      <c r="U65">
        <f t="shared" si="1"/>
        <v>0</v>
      </c>
    </row>
    <row r="66" spans="1:21">
      <c r="A66" s="183" t="s">
        <v>30</v>
      </c>
      <c r="B66" s="183">
        <v>310781125</v>
      </c>
      <c r="C66" s="183" t="s">
        <v>88</v>
      </c>
      <c r="D66" s="183" t="s">
        <v>25</v>
      </c>
      <c r="E66" s="185">
        <v>17215</v>
      </c>
      <c r="F66" s="185">
        <v>17215</v>
      </c>
      <c r="G66" s="183">
        <v>0</v>
      </c>
      <c r="H66" s="183" t="s">
        <v>965</v>
      </c>
      <c r="I66" s="183" t="s">
        <v>1049</v>
      </c>
      <c r="J66" s="183" t="s">
        <v>1050</v>
      </c>
      <c r="K66" s="183" t="s">
        <v>1051</v>
      </c>
      <c r="L66" s="183" t="s">
        <v>974</v>
      </c>
      <c r="N66" s="185">
        <f>+VLOOKUP(B66,dotpop24!$A$10:$L$178,11,)</f>
        <v>876806.84</v>
      </c>
      <c r="P66">
        <f>+VLOOKUP($B66,'SAE23'!$D$3:$L$181,7,0)</f>
        <v>52</v>
      </c>
      <c r="Q66">
        <f>+VLOOKUP($B66,basev2!$C$5:$Q$173,14,0)</f>
        <v>52</v>
      </c>
      <c r="R66">
        <f t="shared" si="0"/>
        <v>0</v>
      </c>
      <c r="S66">
        <f>+VLOOKUP($B66,'SAE23'!$D$3:$L$181,9,0)</f>
        <v>0</v>
      </c>
      <c r="T66">
        <f>+VLOOKUP($B66,basev2!$C$5:$Q$173,15,0)</f>
        <v>0</v>
      </c>
      <c r="U66">
        <f t="shared" si="1"/>
        <v>0</v>
      </c>
    </row>
    <row r="67" spans="1:21">
      <c r="A67" s="183" t="s">
        <v>30</v>
      </c>
      <c r="B67" s="183">
        <v>310781174</v>
      </c>
      <c r="C67" s="183" t="s">
        <v>89</v>
      </c>
      <c r="D67" s="183" t="s">
        <v>25</v>
      </c>
      <c r="E67" s="185">
        <v>34171</v>
      </c>
      <c r="F67" s="185">
        <v>28790</v>
      </c>
      <c r="G67" s="185">
        <v>5381</v>
      </c>
      <c r="H67" s="183" t="s">
        <v>1052</v>
      </c>
      <c r="I67" s="183" t="s">
        <v>1053</v>
      </c>
      <c r="J67" s="183" t="s">
        <v>903</v>
      </c>
      <c r="K67" s="183" t="s">
        <v>1054</v>
      </c>
      <c r="L67" s="183" t="s">
        <v>1055</v>
      </c>
      <c r="N67" s="185">
        <f>+VLOOKUP(B67,dotpop24!$A$10:$L$178,11,)</f>
        <v>1188639.94</v>
      </c>
      <c r="P67">
        <f>+VLOOKUP($B67,'SAE23'!$D$3:$L$181,7,0)</f>
        <v>80</v>
      </c>
      <c r="Q67">
        <f>+VLOOKUP($B67,basev2!$C$5:$Q$173,14,0)</f>
        <v>80</v>
      </c>
      <c r="R67">
        <f t="shared" si="0"/>
        <v>0</v>
      </c>
      <c r="S67">
        <f>+VLOOKUP($B67,'SAE23'!$D$3:$L$181,9,0)</f>
        <v>10</v>
      </c>
      <c r="T67">
        <f>+VLOOKUP($B67,basev2!$C$5:$Q$173,15,0)</f>
        <v>10</v>
      </c>
      <c r="U67">
        <f t="shared" si="1"/>
        <v>0</v>
      </c>
    </row>
    <row r="68" spans="1:21">
      <c r="A68" s="183" t="s">
        <v>61</v>
      </c>
      <c r="B68" s="198">
        <v>310781406</v>
      </c>
      <c r="C68" s="183" t="s">
        <v>90</v>
      </c>
      <c r="D68" s="183" t="s">
        <v>25</v>
      </c>
      <c r="E68" s="185">
        <v>58632</v>
      </c>
      <c r="F68" s="185">
        <v>49407</v>
      </c>
      <c r="G68" s="185">
        <v>9225</v>
      </c>
      <c r="H68" s="183" t="s">
        <v>891</v>
      </c>
      <c r="I68" s="183" t="s">
        <v>1056</v>
      </c>
      <c r="J68" s="183" t="s">
        <v>916</v>
      </c>
      <c r="K68" s="183" t="s">
        <v>1057</v>
      </c>
      <c r="L68" s="183" t="s">
        <v>1058</v>
      </c>
      <c r="N68" s="185">
        <f>+VLOOKUP(B68,dotpop24!$A$10:$L$178,11,)</f>
        <v>9773350.7300000004</v>
      </c>
      <c r="P68" s="206">
        <f>+'SAE23'!J185</f>
        <v>187</v>
      </c>
      <c r="Q68">
        <f>+VLOOKUP($B68,basev2!$C$5:$Q$173,14,0)</f>
        <v>187</v>
      </c>
      <c r="R68">
        <f t="shared" si="0"/>
        <v>0</v>
      </c>
      <c r="S68" s="29">
        <f>+'SAE23'!L185</f>
        <v>35</v>
      </c>
      <c r="T68">
        <f>+VLOOKUP($B68,basev2!$C$5:$Q$173,15,0)</f>
        <v>35</v>
      </c>
      <c r="U68">
        <f t="shared" si="1"/>
        <v>0</v>
      </c>
    </row>
    <row r="69" spans="1:21">
      <c r="A69" s="183" t="s">
        <v>30</v>
      </c>
      <c r="B69" s="183">
        <v>310781695</v>
      </c>
      <c r="C69" s="183" t="s">
        <v>92</v>
      </c>
      <c r="D69" s="183" t="s">
        <v>25</v>
      </c>
      <c r="E69" s="185">
        <v>30950</v>
      </c>
      <c r="F69" s="185">
        <v>30950</v>
      </c>
      <c r="G69" s="183">
        <v>0</v>
      </c>
      <c r="H69" s="183" t="s">
        <v>1064</v>
      </c>
      <c r="I69" s="183" t="s">
        <v>1065</v>
      </c>
      <c r="J69" s="183" t="s">
        <v>1066</v>
      </c>
      <c r="K69" s="183" t="s">
        <v>1067</v>
      </c>
      <c r="L69" s="183" t="s">
        <v>999</v>
      </c>
      <c r="N69" s="185">
        <f>+VLOOKUP(B69,dotpop24!$A$10:$L$178,11,)</f>
        <v>2556409.58</v>
      </c>
      <c r="P69">
        <f>+VLOOKUP($B69,'SAE23'!$D$3:$L$181,7,0)</f>
        <v>113</v>
      </c>
      <c r="Q69">
        <f>+VLOOKUP($B69,basev2!$C$5:$Q$173,14,0)</f>
        <v>113</v>
      </c>
      <c r="R69">
        <f t="shared" si="0"/>
        <v>0</v>
      </c>
      <c r="S69">
        <f>+VLOOKUP($B69,'SAE23'!$D$3:$L$181,9,0)</f>
        <v>0</v>
      </c>
      <c r="T69">
        <f>+VLOOKUP($B69,basev2!$C$5:$Q$173,15,0)</f>
        <v>0</v>
      </c>
      <c r="U69">
        <f t="shared" si="1"/>
        <v>0</v>
      </c>
    </row>
    <row r="70" spans="1:21">
      <c r="A70" s="183" t="s">
        <v>30</v>
      </c>
      <c r="B70" s="183">
        <v>310781984</v>
      </c>
      <c r="C70" s="183" t="s">
        <v>93</v>
      </c>
      <c r="D70" s="183" t="s">
        <v>25</v>
      </c>
      <c r="E70" s="185">
        <v>63974</v>
      </c>
      <c r="F70" s="185">
        <v>59163</v>
      </c>
      <c r="G70" s="185">
        <v>4811</v>
      </c>
      <c r="H70" s="183" t="s">
        <v>1068</v>
      </c>
      <c r="I70" s="183" t="s">
        <v>1069</v>
      </c>
      <c r="J70" s="183" t="s">
        <v>1070</v>
      </c>
      <c r="K70" s="183" t="s">
        <v>1071</v>
      </c>
      <c r="L70" s="183" t="s">
        <v>1072</v>
      </c>
      <c r="N70" s="185">
        <f>+VLOOKUP(B70,dotpop24!$A$10:$L$178,11,)</f>
        <v>4240637</v>
      </c>
      <c r="P70">
        <f>+VLOOKUP($B70,'SAE23'!$D$3:$L$181,7,0)</f>
        <v>169</v>
      </c>
      <c r="Q70">
        <f>+VLOOKUP($B70,basev2!$C$5:$Q$173,14,0)</f>
        <v>169</v>
      </c>
      <c r="R70">
        <f t="shared" si="0"/>
        <v>0</v>
      </c>
      <c r="S70">
        <f>+VLOOKUP($B70,'SAE23'!$D$3:$L$181,9,0)</f>
        <v>8</v>
      </c>
      <c r="T70">
        <f>+VLOOKUP($B70,basev2!$C$5:$Q$173,15,0)</f>
        <v>8</v>
      </c>
      <c r="U70">
        <f t="shared" si="1"/>
        <v>0</v>
      </c>
    </row>
    <row r="71" spans="1:21">
      <c r="A71" s="183" t="s">
        <v>30</v>
      </c>
      <c r="B71" s="183">
        <v>310782016</v>
      </c>
      <c r="C71" s="183" t="s">
        <v>94</v>
      </c>
      <c r="D71" s="183" t="s">
        <v>25</v>
      </c>
      <c r="E71" s="189">
        <v>16324</v>
      </c>
      <c r="F71" s="190" t="s">
        <v>95</v>
      </c>
      <c r="G71" s="190" t="s">
        <v>96</v>
      </c>
      <c r="H71" s="183" t="s">
        <v>1073</v>
      </c>
      <c r="I71" s="183" t="s">
        <v>1074</v>
      </c>
      <c r="J71" s="183" t="s">
        <v>1075</v>
      </c>
      <c r="K71" s="183" t="s">
        <v>1076</v>
      </c>
      <c r="L71" s="183" t="s">
        <v>1077</v>
      </c>
      <c r="N71" s="185">
        <f>+VLOOKUP(B71,dotpop24!$A$10:$L$178,11,)</f>
        <v>1681463.22</v>
      </c>
      <c r="P71">
        <f>+VLOOKUP($B71,'SAE23'!$D$3:$L$181,7,0)</f>
        <v>45</v>
      </c>
      <c r="Q71">
        <f>+VLOOKUP($B71,basev2!$C$5:$Q$173,14,0)</f>
        <v>45</v>
      </c>
      <c r="R71">
        <f t="shared" si="0"/>
        <v>0</v>
      </c>
      <c r="S71">
        <f>+VLOOKUP($B71,'SAE23'!$D$3:$L$181,9,0)</f>
        <v>0</v>
      </c>
      <c r="T71">
        <f>+VLOOKUP($B71,basev2!$C$5:$Q$173,15,0)</f>
        <v>0</v>
      </c>
      <c r="U71">
        <f t="shared" si="1"/>
        <v>0</v>
      </c>
    </row>
    <row r="72" spans="1:21">
      <c r="A72" s="183" t="s">
        <v>30</v>
      </c>
      <c r="B72" s="183">
        <v>310782396</v>
      </c>
      <c r="C72" s="183" t="s">
        <v>97</v>
      </c>
      <c r="D72" s="183" t="s">
        <v>25</v>
      </c>
      <c r="E72" s="185">
        <v>41217</v>
      </c>
      <c r="F72" s="185">
        <v>34225</v>
      </c>
      <c r="G72" s="185">
        <v>6992</v>
      </c>
      <c r="H72" s="183" t="s">
        <v>975</v>
      </c>
      <c r="I72" s="183" t="s">
        <v>1078</v>
      </c>
      <c r="J72" s="183" t="s">
        <v>1079</v>
      </c>
      <c r="K72" s="183" t="s">
        <v>937</v>
      </c>
      <c r="L72" s="183" t="s">
        <v>1080</v>
      </c>
      <c r="N72" s="185">
        <f>+VLOOKUP(B72,dotpop24!$A$10:$L$178,11,)</f>
        <v>3898397</v>
      </c>
      <c r="P72">
        <f>+VLOOKUP($B72,'SAE23'!$D$3:$L$181,7,0)</f>
        <v>95</v>
      </c>
      <c r="Q72">
        <f>+VLOOKUP($B72,basev2!$C$5:$Q$173,14,0)</f>
        <v>95</v>
      </c>
      <c r="R72">
        <f t="shared" si="0"/>
        <v>0</v>
      </c>
      <c r="S72">
        <f>+VLOOKUP($B72,'SAE23'!$D$3:$L$181,9,0)</f>
        <v>15</v>
      </c>
      <c r="T72">
        <f>+VLOOKUP($B72,basev2!$C$5:$Q$173,15,0)</f>
        <v>15</v>
      </c>
      <c r="U72">
        <f t="shared" si="1"/>
        <v>0</v>
      </c>
    </row>
    <row r="73" spans="1:21">
      <c r="A73" s="183" t="s">
        <v>30</v>
      </c>
      <c r="B73" s="183">
        <v>310784830</v>
      </c>
      <c r="C73" s="183" t="s">
        <v>98</v>
      </c>
      <c r="D73" s="183" t="s">
        <v>25</v>
      </c>
      <c r="E73" s="185">
        <v>30431</v>
      </c>
      <c r="F73" s="185">
        <v>18666</v>
      </c>
      <c r="G73" s="185">
        <v>11765</v>
      </c>
      <c r="H73" s="183" t="s">
        <v>1081</v>
      </c>
      <c r="I73" s="183" t="s">
        <v>1082</v>
      </c>
      <c r="J73" s="183" t="s">
        <v>1083</v>
      </c>
      <c r="K73" s="183" t="s">
        <v>983</v>
      </c>
      <c r="L73" s="183" t="s">
        <v>1084</v>
      </c>
      <c r="N73" s="185">
        <f>+VLOOKUP(B73,dotpop24!$A$10:$L$178,11,)</f>
        <v>4175932.78</v>
      </c>
      <c r="P73">
        <f>+VLOOKUP($B73,'SAE23'!$D$3:$L$181,7,0)</f>
        <v>84</v>
      </c>
      <c r="Q73">
        <f>+VLOOKUP($B73,basev2!$C$5:$Q$173,14,0)</f>
        <v>84</v>
      </c>
      <c r="R73">
        <f t="shared" si="0"/>
        <v>0</v>
      </c>
      <c r="S73">
        <f>+VLOOKUP($B73,'SAE23'!$D$3:$L$181,9,0)</f>
        <v>5</v>
      </c>
      <c r="T73">
        <f>+VLOOKUP($B73,basev2!$C$5:$Q$173,15,0)</f>
        <v>5</v>
      </c>
      <c r="U73">
        <f t="shared" si="1"/>
        <v>0</v>
      </c>
    </row>
    <row r="74" spans="1:21">
      <c r="A74" s="183" t="s">
        <v>22</v>
      </c>
      <c r="B74" s="183">
        <v>310786256</v>
      </c>
      <c r="C74" s="183" t="s">
        <v>99</v>
      </c>
      <c r="D74" s="183" t="s">
        <v>25</v>
      </c>
      <c r="E74" s="185">
        <v>12333</v>
      </c>
      <c r="F74" s="185">
        <v>12333</v>
      </c>
      <c r="G74" s="183">
        <v>0</v>
      </c>
      <c r="H74" s="183" t="s">
        <v>1085</v>
      </c>
      <c r="I74" s="183" t="s">
        <v>1086</v>
      </c>
      <c r="J74" s="183" t="s">
        <v>1087</v>
      </c>
      <c r="K74" s="183" t="s">
        <v>1088</v>
      </c>
      <c r="L74" s="183" t="s">
        <v>999</v>
      </c>
      <c r="N74" s="185">
        <f>+VLOOKUP(B74,dotpop24!$A$10:$L$178,11,)</f>
        <v>1506874.96</v>
      </c>
      <c r="P74">
        <f>+VLOOKUP($B74,'SAE23'!$G$3:$L$181,4,0)</f>
        <v>35</v>
      </c>
      <c r="Q74">
        <f>+VLOOKUP($B74,basev2!$C$5:$Q$173,14,0)</f>
        <v>35</v>
      </c>
      <c r="R74">
        <f t="shared" si="0"/>
        <v>0</v>
      </c>
      <c r="S74">
        <f>+VLOOKUP($B74,'SAE23'!$G$3:$L$181,6,0)</f>
        <v>0</v>
      </c>
      <c r="T74">
        <f>+VLOOKUP($B74,basev2!$C$5:$Q$173,15,0)</f>
        <v>0</v>
      </c>
      <c r="U74">
        <f t="shared" si="1"/>
        <v>0</v>
      </c>
    </row>
    <row r="75" spans="1:21">
      <c r="A75" s="183" t="s">
        <v>30</v>
      </c>
      <c r="B75" s="183">
        <v>310786389</v>
      </c>
      <c r="C75" s="183" t="s">
        <v>100</v>
      </c>
      <c r="D75" s="183" t="s">
        <v>25</v>
      </c>
      <c r="E75" s="185">
        <v>40470</v>
      </c>
      <c r="F75" s="185">
        <v>36542</v>
      </c>
      <c r="G75" s="185">
        <v>3928</v>
      </c>
      <c r="H75" s="183" t="s">
        <v>1089</v>
      </c>
      <c r="I75" s="183" t="s">
        <v>1090</v>
      </c>
      <c r="J75" s="183" t="s">
        <v>1070</v>
      </c>
      <c r="K75" s="183" t="s">
        <v>1091</v>
      </c>
      <c r="L75" s="183" t="s">
        <v>1092</v>
      </c>
      <c r="N75" s="185">
        <f>+VLOOKUP(B75,dotpop24!$A$10:$L$178,11,)</f>
        <v>2455708.52</v>
      </c>
      <c r="P75">
        <f>+VLOOKUP($B75,'SAE23'!$D$3:$L$181,7,0)</f>
        <v>108</v>
      </c>
      <c r="Q75">
        <f>+VLOOKUP($B75,basev2!$C$5:$Q$173,14,0)</f>
        <v>108</v>
      </c>
      <c r="R75">
        <f t="shared" ref="R75:R135" si="2">+P75-Q75</f>
        <v>0</v>
      </c>
      <c r="S75">
        <f>+VLOOKUP($B75,'SAE23'!$D$3:$L$181,9,0)</f>
        <v>20</v>
      </c>
      <c r="T75">
        <f>+VLOOKUP($B75,basev2!$C$5:$Q$173,15,0)</f>
        <v>20</v>
      </c>
      <c r="U75">
        <f t="shared" si="1"/>
        <v>0</v>
      </c>
    </row>
    <row r="76" spans="1:21">
      <c r="A76" s="183" t="s">
        <v>30</v>
      </c>
      <c r="B76" s="183">
        <v>310786702</v>
      </c>
      <c r="C76" s="183" t="s">
        <v>101</v>
      </c>
      <c r="D76" s="183" t="s">
        <v>25</v>
      </c>
      <c r="E76" s="185">
        <v>21980</v>
      </c>
      <c r="F76" s="185">
        <v>18216</v>
      </c>
      <c r="G76" s="185">
        <v>3764</v>
      </c>
      <c r="H76" s="183" t="s">
        <v>1093</v>
      </c>
      <c r="I76" s="183" t="s">
        <v>1094</v>
      </c>
      <c r="J76" s="183" t="s">
        <v>1095</v>
      </c>
      <c r="K76" s="183" t="s">
        <v>1096</v>
      </c>
      <c r="L76" s="183" t="s">
        <v>1097</v>
      </c>
      <c r="N76" s="185">
        <f>+VLOOKUP(B76,dotpop24!$A$10:$L$178,11,)</f>
        <v>1553046.57</v>
      </c>
      <c r="P76">
        <f>+VLOOKUP($B76,'SAE23'!$D$3:$L$181,7,0)</f>
        <v>53</v>
      </c>
      <c r="Q76">
        <f>+VLOOKUP($B76,basev2!$C$5:$Q$173,14,0)</f>
        <v>53</v>
      </c>
      <c r="R76">
        <f t="shared" si="2"/>
        <v>0</v>
      </c>
      <c r="S76">
        <f>+VLOOKUP($B76,'SAE23'!$D$3:$L$181,9,0)</f>
        <v>20</v>
      </c>
      <c r="T76">
        <f>+VLOOKUP($B76,basev2!$C$5:$Q$173,15,0)</f>
        <v>20</v>
      </c>
      <c r="U76">
        <f t="shared" ref="U76:U139" si="3">+S76-T76</f>
        <v>0</v>
      </c>
    </row>
    <row r="77" spans="1:21">
      <c r="A77" s="183" t="s">
        <v>33</v>
      </c>
      <c r="B77" s="195">
        <v>310781067</v>
      </c>
      <c r="C77" s="195" t="s">
        <v>102</v>
      </c>
      <c r="D77" s="183" t="s">
        <v>25</v>
      </c>
      <c r="E77" s="185">
        <v>6380</v>
      </c>
      <c r="F77" s="183">
        <v>0</v>
      </c>
      <c r="G77" s="185">
        <v>6380</v>
      </c>
      <c r="H77" s="183" t="s">
        <v>990</v>
      </c>
      <c r="I77" s="183" t="s">
        <v>1098</v>
      </c>
      <c r="J77" s="183" t="s">
        <v>1099</v>
      </c>
      <c r="K77" s="183" t="s">
        <v>1100</v>
      </c>
      <c r="L77" s="183" t="s">
        <v>1101</v>
      </c>
      <c r="N77" s="185">
        <f>+VLOOKUP(B77,dotpop24!$A$10:$L$178,11,)</f>
        <v>576489.37</v>
      </c>
      <c r="R77">
        <f t="shared" si="2"/>
        <v>0</v>
      </c>
      <c r="S77" s="29">
        <v>30</v>
      </c>
      <c r="T77" s="35">
        <v>30</v>
      </c>
      <c r="U77">
        <f t="shared" si="3"/>
        <v>0</v>
      </c>
    </row>
    <row r="78" spans="1:21">
      <c r="A78" s="183" t="s">
        <v>30</v>
      </c>
      <c r="B78" s="183">
        <v>310790472</v>
      </c>
      <c r="C78" s="183" t="s">
        <v>103</v>
      </c>
      <c r="D78" s="183" t="s">
        <v>25</v>
      </c>
      <c r="E78" s="185">
        <v>54405</v>
      </c>
      <c r="F78" s="185">
        <v>39555</v>
      </c>
      <c r="G78" s="185">
        <v>14850</v>
      </c>
      <c r="H78" s="183" t="s">
        <v>1102</v>
      </c>
      <c r="I78" s="183" t="s">
        <v>1103</v>
      </c>
      <c r="J78" s="183" t="s">
        <v>1104</v>
      </c>
      <c r="K78" s="183" t="s">
        <v>1105</v>
      </c>
      <c r="L78" s="183" t="s">
        <v>1106</v>
      </c>
      <c r="N78" s="185">
        <f>+VLOOKUP(B78,dotpop24!$A$10:$L$178,11,)</f>
        <v>5587951</v>
      </c>
      <c r="P78">
        <f>+VLOOKUP($B78,'SAE23'!$D$3:$L$181,7,0)</f>
        <v>141</v>
      </c>
      <c r="Q78">
        <f>+VLOOKUP($B78,basev2!$C$5:$Q$173,14,0)</f>
        <v>141</v>
      </c>
      <c r="R78">
        <f t="shared" si="2"/>
        <v>0</v>
      </c>
      <c r="S78">
        <f>+VLOOKUP($B78,'SAE23'!$D$3:$L$181,9,0)</f>
        <v>60</v>
      </c>
      <c r="T78">
        <f>+VLOOKUP($B78,basev2!$C$5:$Q$173,15,0)</f>
        <v>60</v>
      </c>
      <c r="U78">
        <f t="shared" si="3"/>
        <v>0</v>
      </c>
    </row>
    <row r="79" spans="1:21" ht="30">
      <c r="A79" s="183" t="s">
        <v>30</v>
      </c>
      <c r="B79" s="183">
        <v>310792635</v>
      </c>
      <c r="C79" s="183" t="s">
        <v>104</v>
      </c>
      <c r="D79" s="183" t="s">
        <v>25</v>
      </c>
      <c r="E79" s="185">
        <v>32696</v>
      </c>
      <c r="F79" s="185">
        <v>21073</v>
      </c>
      <c r="G79" s="185">
        <v>11623</v>
      </c>
      <c r="H79" s="183" t="s">
        <v>1015</v>
      </c>
      <c r="I79" s="183" t="s">
        <v>1107</v>
      </c>
      <c r="J79" s="183" t="s">
        <v>1108</v>
      </c>
      <c r="K79" s="183" t="s">
        <v>936</v>
      </c>
      <c r="L79" s="183" t="s">
        <v>1109</v>
      </c>
      <c r="N79" s="185">
        <f>+VLOOKUP(B79,dotpop24!$A$10:$L$178,11,)</f>
        <v>2679165.59</v>
      </c>
      <c r="P79">
        <f>+VLOOKUP($B79,'SAE23'!$D$3:$L$181,7,0)</f>
        <v>108</v>
      </c>
      <c r="Q79">
        <f>+VLOOKUP($B79,basev2!$C$5:$Q$173,14,0)</f>
        <v>108</v>
      </c>
      <c r="R79">
        <f t="shared" si="2"/>
        <v>0</v>
      </c>
      <c r="S79">
        <f>+VLOOKUP($B79,'SAE23'!$D$3:$L$181,9,0)</f>
        <v>10</v>
      </c>
      <c r="T79">
        <f>+VLOOKUP($B79,basev2!$C$5:$Q$173,15,0)</f>
        <v>10</v>
      </c>
      <c r="U79">
        <f t="shared" si="3"/>
        <v>0</v>
      </c>
    </row>
    <row r="80" spans="1:21">
      <c r="A80" s="183" t="s">
        <v>22</v>
      </c>
      <c r="B80" s="183">
        <v>320004310</v>
      </c>
      <c r="C80" s="183" t="s">
        <v>106</v>
      </c>
      <c r="D80" s="183" t="s">
        <v>25</v>
      </c>
      <c r="E80" s="185">
        <v>7228</v>
      </c>
      <c r="F80" s="185">
        <v>7228</v>
      </c>
      <c r="G80" s="183">
        <v>0</v>
      </c>
      <c r="H80" s="183" t="s">
        <v>1114</v>
      </c>
      <c r="I80" s="183" t="s">
        <v>1115</v>
      </c>
      <c r="J80" s="183" t="s">
        <v>987</v>
      </c>
      <c r="K80" s="183" t="s">
        <v>1116</v>
      </c>
      <c r="L80" s="183" t="s">
        <v>1117</v>
      </c>
      <c r="N80" s="185">
        <f>+VLOOKUP(B80,dotpop24!$A$10:$L$178,11,)</f>
        <v>892023.52</v>
      </c>
      <c r="P80">
        <f>+VLOOKUP($B80,'SAE23'!$G$3:$L$181,4,0)</f>
        <v>24</v>
      </c>
      <c r="Q80">
        <f>+VLOOKUP($B80,basev2!$C$5:$Q$173,14,0)</f>
        <v>24</v>
      </c>
      <c r="R80">
        <f t="shared" si="2"/>
        <v>0</v>
      </c>
      <c r="S80">
        <f>+VLOOKUP($B80,'SAE23'!$G$3:$L$181,6,0)</f>
        <v>0</v>
      </c>
      <c r="T80">
        <f>+VLOOKUP($B80,basev2!$C$5:$Q$173,15,0)</f>
        <v>0</v>
      </c>
      <c r="U80">
        <f t="shared" si="3"/>
        <v>0</v>
      </c>
    </row>
    <row r="81" spans="1:21">
      <c r="A81" s="183" t="s">
        <v>30</v>
      </c>
      <c r="B81" s="183">
        <v>320004930</v>
      </c>
      <c r="C81" s="183" t="s">
        <v>107</v>
      </c>
      <c r="D81" s="183" t="s">
        <v>25</v>
      </c>
      <c r="E81" s="185">
        <v>50529</v>
      </c>
      <c r="F81" s="185">
        <v>43738</v>
      </c>
      <c r="G81" s="185">
        <v>6791</v>
      </c>
      <c r="H81" s="183" t="s">
        <v>1118</v>
      </c>
      <c r="I81" s="183" t="s">
        <v>1119</v>
      </c>
      <c r="J81" s="183" t="s">
        <v>1066</v>
      </c>
      <c r="K81" s="183" t="s">
        <v>1120</v>
      </c>
      <c r="L81" s="183" t="s">
        <v>1121</v>
      </c>
      <c r="N81" s="185">
        <f>+VLOOKUP(B81,dotpop24!$A$10:$L$178,11,)</f>
        <v>5664316</v>
      </c>
      <c r="P81">
        <f>+VLOOKUP($B81,'SAE23'!$D$3:$L$181,7,0)</f>
        <v>135</v>
      </c>
      <c r="Q81">
        <f>+VLOOKUP($B81,basev2!$C$5:$Q$173,14,0)</f>
        <v>135</v>
      </c>
      <c r="R81">
        <f t="shared" si="2"/>
        <v>0</v>
      </c>
      <c r="S81">
        <f>+VLOOKUP($B81,'SAE23'!$D$3:$L$181,9,0)</f>
        <v>85</v>
      </c>
      <c r="T81">
        <f>+VLOOKUP($B81,basev2!$C$5:$Q$173,15,0)</f>
        <v>85</v>
      </c>
      <c r="U81">
        <f t="shared" si="3"/>
        <v>0</v>
      </c>
    </row>
    <row r="82" spans="1:21">
      <c r="A82" s="183" t="s">
        <v>22</v>
      </c>
      <c r="B82" s="183">
        <v>320780117</v>
      </c>
      <c r="C82" s="183" t="s">
        <v>108</v>
      </c>
      <c r="D82" s="183" t="s">
        <v>25</v>
      </c>
      <c r="E82" s="185">
        <v>12323</v>
      </c>
      <c r="F82" s="185">
        <v>9801</v>
      </c>
      <c r="G82" s="185">
        <v>2522</v>
      </c>
      <c r="H82" s="183" t="s">
        <v>1122</v>
      </c>
      <c r="I82" s="183" t="s">
        <v>1123</v>
      </c>
      <c r="J82" s="183" t="s">
        <v>1124</v>
      </c>
      <c r="K82" s="183" t="s">
        <v>1038</v>
      </c>
      <c r="L82" s="183" t="s">
        <v>1125</v>
      </c>
      <c r="N82" s="185">
        <f>+VLOOKUP(B82,dotpop24!$A$10:$L$178,11,)</f>
        <v>3372077.23</v>
      </c>
      <c r="P82">
        <f>+VLOOKUP($B82,'SAE23'!$G$3:$L$181,4,0)</f>
        <v>34</v>
      </c>
      <c r="Q82">
        <f>+VLOOKUP($B82,basev2!$C$5:$Q$173,14,0)</f>
        <v>34</v>
      </c>
      <c r="R82">
        <f t="shared" si="2"/>
        <v>0</v>
      </c>
      <c r="S82">
        <f>+VLOOKUP($B82,'SAE23'!$G$3:$L$181,6,0)</f>
        <v>9</v>
      </c>
      <c r="T82">
        <f>+VLOOKUP($B82,basev2!$C$5:$Q$173,15,0)</f>
        <v>9</v>
      </c>
      <c r="U82">
        <f t="shared" si="3"/>
        <v>0</v>
      </c>
    </row>
    <row r="83" spans="1:21">
      <c r="A83" s="183" t="s">
        <v>22</v>
      </c>
      <c r="B83" s="183">
        <v>320780133</v>
      </c>
      <c r="C83" s="183" t="s">
        <v>109</v>
      </c>
      <c r="D83" s="183" t="s">
        <v>25</v>
      </c>
      <c r="E83" s="185">
        <v>6237</v>
      </c>
      <c r="F83" s="185">
        <v>6237</v>
      </c>
      <c r="G83" s="183">
        <v>0</v>
      </c>
      <c r="H83" s="183" t="s">
        <v>1126</v>
      </c>
      <c r="I83" s="183" t="s">
        <v>1127</v>
      </c>
      <c r="J83" s="183" t="s">
        <v>997</v>
      </c>
      <c r="K83" s="183" t="s">
        <v>1105</v>
      </c>
      <c r="L83" s="183" t="s">
        <v>1128</v>
      </c>
      <c r="N83" s="185">
        <f>+VLOOKUP(B83,dotpop24!$A$10:$L$178,11,)</f>
        <v>661276.57999999996</v>
      </c>
      <c r="P83">
        <f>+VLOOKUP($B83,'SAE23'!$G$3:$L$181,4,0)</f>
        <v>20</v>
      </c>
      <c r="Q83">
        <f>+VLOOKUP($B83,basev2!$C$5:$Q$173,14,0)</f>
        <v>20</v>
      </c>
      <c r="R83">
        <f t="shared" si="2"/>
        <v>0</v>
      </c>
      <c r="S83">
        <f>+VLOOKUP($B83,'SAE23'!$G$3:$L$181,6,0)</f>
        <v>0</v>
      </c>
      <c r="T83">
        <f>+VLOOKUP($B83,basev2!$C$5:$Q$173,15,0)</f>
        <v>0</v>
      </c>
      <c r="U83">
        <f t="shared" si="3"/>
        <v>0</v>
      </c>
    </row>
    <row r="84" spans="1:21">
      <c r="A84" s="183" t="s">
        <v>22</v>
      </c>
      <c r="B84" s="183">
        <v>320780158</v>
      </c>
      <c r="C84" s="183" t="s">
        <v>110</v>
      </c>
      <c r="D84" s="183" t="s">
        <v>25</v>
      </c>
      <c r="E84" s="185">
        <v>5270</v>
      </c>
      <c r="F84" s="185">
        <v>5270</v>
      </c>
      <c r="G84" s="183">
        <v>0</v>
      </c>
      <c r="H84" s="183" t="s">
        <v>1129</v>
      </c>
      <c r="I84" s="183" t="s">
        <v>1130</v>
      </c>
      <c r="J84" s="183" t="s">
        <v>1131</v>
      </c>
      <c r="K84" s="183" t="s">
        <v>1132</v>
      </c>
      <c r="L84" s="183" t="s">
        <v>1133</v>
      </c>
      <c r="N84" s="185">
        <f>+VLOOKUP(B84,dotpop24!$A$10:$L$178,11,)</f>
        <v>586041.89</v>
      </c>
      <c r="P84">
        <f>+VLOOKUP($B84,'SAE23'!$G$3:$L$181,4,0)</f>
        <v>15</v>
      </c>
      <c r="Q84">
        <f>+VLOOKUP($B84,basev2!$C$5:$Q$173,14,0)</f>
        <v>15</v>
      </c>
      <c r="R84">
        <f t="shared" si="2"/>
        <v>0</v>
      </c>
      <c r="S84">
        <f>+VLOOKUP($B84,'SAE23'!$G$3:$L$181,6,0)</f>
        <v>0</v>
      </c>
      <c r="T84">
        <f>+VLOOKUP($B84,basev2!$C$5:$Q$173,15,0)</f>
        <v>0</v>
      </c>
      <c r="U84">
        <f t="shared" si="3"/>
        <v>0</v>
      </c>
    </row>
    <row r="85" spans="1:21">
      <c r="A85" s="183" t="s">
        <v>22</v>
      </c>
      <c r="B85" s="183">
        <v>320780174</v>
      </c>
      <c r="C85" s="183" t="s">
        <v>111</v>
      </c>
      <c r="D85" s="183" t="s">
        <v>25</v>
      </c>
      <c r="E85" s="185">
        <v>8817</v>
      </c>
      <c r="F85" s="185">
        <v>8817</v>
      </c>
      <c r="G85" s="183">
        <v>0</v>
      </c>
      <c r="H85" s="183" t="s">
        <v>995</v>
      </c>
      <c r="I85" s="183" t="s">
        <v>1134</v>
      </c>
      <c r="J85" s="183" t="s">
        <v>1135</v>
      </c>
      <c r="K85" s="183" t="s">
        <v>1136</v>
      </c>
      <c r="L85" s="183" t="s">
        <v>1137</v>
      </c>
      <c r="N85" s="185">
        <f>+VLOOKUP(B85,dotpop24!$A$10:$L$178,11,)</f>
        <v>919305.8</v>
      </c>
      <c r="P85">
        <f>+VLOOKUP($B85,'SAE23'!$G$3:$L$181,4,0)</f>
        <v>30</v>
      </c>
      <c r="Q85">
        <f>+VLOOKUP($B85,basev2!$C$5:$Q$173,14,0)</f>
        <v>30</v>
      </c>
      <c r="R85">
        <f t="shared" si="2"/>
        <v>0</v>
      </c>
      <c r="S85">
        <f>+VLOOKUP($B85,'SAE23'!$G$3:$L$181,6,0)</f>
        <v>0</v>
      </c>
      <c r="T85">
        <f>+VLOOKUP($B85,basev2!$C$5:$Q$173,15,0)</f>
        <v>0</v>
      </c>
      <c r="U85">
        <f t="shared" si="3"/>
        <v>0</v>
      </c>
    </row>
    <row r="86" spans="1:21">
      <c r="A86" s="183" t="s">
        <v>22</v>
      </c>
      <c r="B86" s="183">
        <v>320780182</v>
      </c>
      <c r="C86" s="183" t="s">
        <v>112</v>
      </c>
      <c r="D86" s="183" t="s">
        <v>25</v>
      </c>
      <c r="E86" s="185">
        <v>5173</v>
      </c>
      <c r="F86" s="185">
        <v>5173</v>
      </c>
      <c r="G86" s="183">
        <v>0</v>
      </c>
      <c r="H86" s="183" t="s">
        <v>1138</v>
      </c>
      <c r="I86" s="183" t="s">
        <v>1139</v>
      </c>
      <c r="J86" s="183" t="s">
        <v>1140</v>
      </c>
      <c r="K86" s="183" t="s">
        <v>1141</v>
      </c>
      <c r="L86" s="183" t="s">
        <v>1128</v>
      </c>
      <c r="N86" s="185">
        <f>+VLOOKUP(B86,dotpop24!$A$10:$L$178,11,)</f>
        <v>616208.91</v>
      </c>
      <c r="P86">
        <f>+VLOOKUP($B86,'SAE23'!$G$3:$L$181,4,0)</f>
        <v>23</v>
      </c>
      <c r="Q86">
        <f>+VLOOKUP($B86,basev2!$C$5:$Q$173,14,0)</f>
        <v>23</v>
      </c>
      <c r="R86">
        <f t="shared" si="2"/>
        <v>0</v>
      </c>
      <c r="S86">
        <f>+VLOOKUP($B86,'SAE23'!$G$3:$L$181,6,0)</f>
        <v>0</v>
      </c>
      <c r="T86">
        <f>+VLOOKUP($B86,basev2!$C$5:$Q$173,15,0)</f>
        <v>0</v>
      </c>
      <c r="U86">
        <f t="shared" si="3"/>
        <v>0</v>
      </c>
    </row>
    <row r="87" spans="1:21">
      <c r="A87" s="183" t="s">
        <v>22</v>
      </c>
      <c r="B87" s="183">
        <v>320780190</v>
      </c>
      <c r="C87" s="183" t="s">
        <v>113</v>
      </c>
      <c r="D87" s="183" t="s">
        <v>25</v>
      </c>
      <c r="E87" s="185">
        <v>6781</v>
      </c>
      <c r="F87" s="185">
        <v>6781</v>
      </c>
      <c r="G87" s="183">
        <v>0</v>
      </c>
      <c r="H87" s="183" t="s">
        <v>1142</v>
      </c>
      <c r="I87" s="183" t="s">
        <v>1143</v>
      </c>
      <c r="J87" s="183" t="s">
        <v>1144</v>
      </c>
      <c r="K87" s="183" t="s">
        <v>837</v>
      </c>
      <c r="L87" s="183" t="s">
        <v>1145</v>
      </c>
      <c r="N87" s="185">
        <f>+VLOOKUP(B87,dotpop24!$A$10:$L$178,11,)</f>
        <v>885982.66</v>
      </c>
      <c r="P87">
        <f>+VLOOKUP($B87,'SAE23'!$G$3:$L$181,4,0)</f>
        <v>20</v>
      </c>
      <c r="Q87">
        <f>+VLOOKUP($B87,basev2!$C$5:$Q$173,14,0)</f>
        <v>20</v>
      </c>
      <c r="R87">
        <f t="shared" si="2"/>
        <v>0</v>
      </c>
      <c r="S87">
        <f>+VLOOKUP($B87,'SAE23'!$G$3:$L$181,6,0)</f>
        <v>0</v>
      </c>
      <c r="T87">
        <f>+VLOOKUP($B87,basev2!$C$5:$Q$173,15,0)</f>
        <v>0</v>
      </c>
      <c r="U87">
        <f t="shared" si="3"/>
        <v>0</v>
      </c>
    </row>
    <row r="88" spans="1:21">
      <c r="A88" s="183" t="s">
        <v>22</v>
      </c>
      <c r="B88" s="183">
        <v>320780208</v>
      </c>
      <c r="C88" s="183" t="s">
        <v>114</v>
      </c>
      <c r="D88" s="183" t="s">
        <v>25</v>
      </c>
      <c r="E88" s="185">
        <v>7669</v>
      </c>
      <c r="F88" s="185">
        <v>7669</v>
      </c>
      <c r="G88" s="183">
        <v>0</v>
      </c>
      <c r="H88" s="183" t="s">
        <v>1146</v>
      </c>
      <c r="I88" s="183" t="s">
        <v>1147</v>
      </c>
      <c r="J88" s="183" t="s">
        <v>1148</v>
      </c>
      <c r="K88" s="183" t="s">
        <v>1149</v>
      </c>
      <c r="L88" s="183" t="s">
        <v>1150</v>
      </c>
      <c r="N88" s="185">
        <f>+VLOOKUP(B88,dotpop24!$A$10:$L$178,11,)</f>
        <v>837769.77</v>
      </c>
      <c r="P88">
        <f>+VLOOKUP($B88,'SAE23'!$G$3:$L$181,4,0)</f>
        <v>25</v>
      </c>
      <c r="Q88">
        <f>+VLOOKUP($B88,basev2!$C$5:$Q$173,14,0)</f>
        <v>25</v>
      </c>
      <c r="R88">
        <f t="shared" si="2"/>
        <v>0</v>
      </c>
      <c r="S88">
        <f>+VLOOKUP($B88,'SAE23'!$G$3:$L$181,6,0)</f>
        <v>0</v>
      </c>
      <c r="T88">
        <f>+VLOOKUP($B88,basev2!$C$5:$Q$173,15,0)</f>
        <v>0</v>
      </c>
      <c r="U88">
        <f t="shared" si="3"/>
        <v>0</v>
      </c>
    </row>
    <row r="89" spans="1:21">
      <c r="A89" s="183" t="s">
        <v>22</v>
      </c>
      <c r="B89" s="183">
        <v>320780216</v>
      </c>
      <c r="C89" s="183" t="s">
        <v>115</v>
      </c>
      <c r="D89" s="183" t="s">
        <v>25</v>
      </c>
      <c r="E89" s="185">
        <v>6010</v>
      </c>
      <c r="F89" s="185">
        <v>6010</v>
      </c>
      <c r="G89" s="183">
        <v>0</v>
      </c>
      <c r="H89" s="183" t="s">
        <v>812</v>
      </c>
      <c r="I89" s="183" t="s">
        <v>1151</v>
      </c>
      <c r="J89" s="183" t="s">
        <v>1152</v>
      </c>
      <c r="K89" s="183" t="s">
        <v>1153</v>
      </c>
      <c r="L89" s="183" t="s">
        <v>1154</v>
      </c>
      <c r="N89" s="185">
        <f>+VLOOKUP(B89,dotpop24!$A$10:$L$178,11,)</f>
        <v>772388.52</v>
      </c>
      <c r="P89">
        <f>+VLOOKUP($B89,'SAE23'!$G$3:$L$181,4,0)</f>
        <v>19</v>
      </c>
      <c r="Q89">
        <f>+VLOOKUP($B89,basev2!$C$5:$Q$173,14,0)</f>
        <v>19</v>
      </c>
      <c r="R89">
        <f t="shared" si="2"/>
        <v>0</v>
      </c>
      <c r="S89">
        <f>+VLOOKUP($B89,'SAE23'!$G$3:$L$181,6,0)</f>
        <v>0</v>
      </c>
      <c r="T89">
        <f>+VLOOKUP($B89,basev2!$C$5:$Q$173,15,0)</f>
        <v>0</v>
      </c>
      <c r="U89">
        <f t="shared" si="3"/>
        <v>0</v>
      </c>
    </row>
    <row r="90" spans="1:21">
      <c r="A90" s="183" t="s">
        <v>33</v>
      </c>
      <c r="B90" s="183">
        <v>340000439</v>
      </c>
      <c r="C90" s="183" t="s">
        <v>117</v>
      </c>
      <c r="D90" s="183" t="s">
        <v>25</v>
      </c>
      <c r="E90" s="185">
        <v>24405</v>
      </c>
      <c r="F90" s="185">
        <v>20880</v>
      </c>
      <c r="G90" s="185">
        <v>3525</v>
      </c>
      <c r="H90" s="183" t="s">
        <v>1164</v>
      </c>
      <c r="I90" s="183" t="s">
        <v>1165</v>
      </c>
      <c r="J90" s="183" t="s">
        <v>889</v>
      </c>
      <c r="K90" s="183" t="s">
        <v>931</v>
      </c>
      <c r="L90" s="183" t="s">
        <v>1166</v>
      </c>
      <c r="N90" s="185">
        <f>+VLOOKUP(B90,dotpop24!$A$10:$L$178,11,)</f>
        <v>2655700.7000000002</v>
      </c>
      <c r="P90">
        <f>+VLOOKUP($B90,'SAE23'!$D$3:$L$181,7,0)</f>
        <v>68</v>
      </c>
      <c r="Q90">
        <f>+VLOOKUP($B90,basev2!$C$5:$Q$173,14,0)</f>
        <v>68</v>
      </c>
      <c r="R90">
        <f t="shared" si="2"/>
        <v>0</v>
      </c>
      <c r="S90">
        <f>+VLOOKUP($B90,'SAE23'!$D$3:$L$181,9,0)</f>
        <v>10</v>
      </c>
      <c r="T90">
        <f>+VLOOKUP($B90,basev2!$C$5:$Q$173,15,0)</f>
        <v>10</v>
      </c>
      <c r="U90">
        <f t="shared" si="3"/>
        <v>0</v>
      </c>
    </row>
    <row r="91" spans="1:21">
      <c r="A91" s="183" t="s">
        <v>33</v>
      </c>
      <c r="B91" s="183">
        <v>340001064</v>
      </c>
      <c r="C91" s="183" t="s">
        <v>118</v>
      </c>
      <c r="D91" s="183" t="s">
        <v>25</v>
      </c>
      <c r="E91" s="185">
        <v>23226</v>
      </c>
      <c r="F91" s="185">
        <v>20220</v>
      </c>
      <c r="G91" s="185">
        <v>3006</v>
      </c>
      <c r="H91" s="183" t="s">
        <v>1167</v>
      </c>
      <c r="I91" s="183" t="s">
        <v>1168</v>
      </c>
      <c r="J91" s="183" t="s">
        <v>1140</v>
      </c>
      <c r="K91" s="183" t="s">
        <v>1013</v>
      </c>
      <c r="L91" s="183" t="s">
        <v>1169</v>
      </c>
      <c r="N91" s="185">
        <f>+VLOOKUP(B91,dotpop24!$A$10:$L$178,11,)</f>
        <v>3411690.82</v>
      </c>
      <c r="P91">
        <f>+VLOOKUP($B91,'SAE23'!$D$3:$L$181,7,0)</f>
        <v>62</v>
      </c>
      <c r="Q91">
        <f>+VLOOKUP($B91,basev2!$C$5:$Q$173,14,0)</f>
        <v>62</v>
      </c>
      <c r="R91">
        <f t="shared" si="2"/>
        <v>0</v>
      </c>
      <c r="S91">
        <f>+VLOOKUP($B91,'SAE23'!$D$3:$L$181,9,0)</f>
        <v>12</v>
      </c>
      <c r="T91">
        <f>+VLOOKUP($B91,basev2!$C$5:$Q$173,15,0)</f>
        <v>13</v>
      </c>
      <c r="U91">
        <f t="shared" si="3"/>
        <v>-1</v>
      </c>
    </row>
    <row r="92" spans="1:21">
      <c r="A92" s="183" t="s">
        <v>30</v>
      </c>
      <c r="B92" s="183">
        <v>340009018</v>
      </c>
      <c r="C92" s="183" t="s">
        <v>119</v>
      </c>
      <c r="D92" s="183" t="s">
        <v>25</v>
      </c>
      <c r="E92" s="185">
        <v>54646</v>
      </c>
      <c r="F92" s="185">
        <v>44428</v>
      </c>
      <c r="G92" s="185">
        <v>10218</v>
      </c>
      <c r="H92" s="183" t="s">
        <v>1170</v>
      </c>
      <c r="I92" s="183" t="s">
        <v>1171</v>
      </c>
      <c r="J92" s="183" t="s">
        <v>1163</v>
      </c>
      <c r="K92" s="183" t="s">
        <v>1172</v>
      </c>
      <c r="L92" s="183" t="s">
        <v>917</v>
      </c>
      <c r="N92" s="185">
        <f>+VLOOKUP(B92,dotpop24!$A$10:$L$178,11,)</f>
        <v>3361446.81</v>
      </c>
      <c r="P92">
        <f>+VLOOKUP($B92,'SAE23'!$D$3:$L$181,7,0)</f>
        <v>130</v>
      </c>
      <c r="Q92">
        <f>+VLOOKUP($B92,basev2!$C$5:$Q$173,14,0)</f>
        <v>130</v>
      </c>
      <c r="R92">
        <f t="shared" si="2"/>
        <v>0</v>
      </c>
      <c r="S92">
        <f>+VLOOKUP($B92,'SAE23'!$D$3:$L$181,9,0)</f>
        <v>27</v>
      </c>
      <c r="T92">
        <f>+VLOOKUP($B92,basev2!$C$5:$Q$173,15,0)</f>
        <v>27</v>
      </c>
      <c r="U92">
        <f t="shared" si="3"/>
        <v>0</v>
      </c>
    </row>
    <row r="93" spans="1:21">
      <c r="A93" s="183" t="s">
        <v>22</v>
      </c>
      <c r="B93" s="183">
        <v>340009893</v>
      </c>
      <c r="C93" s="183" t="s">
        <v>120</v>
      </c>
      <c r="D93" s="183" t="s">
        <v>25</v>
      </c>
      <c r="E93" s="185">
        <v>6851</v>
      </c>
      <c r="F93" s="185">
        <v>6851</v>
      </c>
      <c r="G93" s="183">
        <v>0</v>
      </c>
      <c r="H93" s="183" t="s">
        <v>1173</v>
      </c>
      <c r="I93" s="183" t="s">
        <v>1174</v>
      </c>
      <c r="J93" s="183" t="s">
        <v>1175</v>
      </c>
      <c r="K93" s="183" t="s">
        <v>1091</v>
      </c>
      <c r="L93" s="183" t="s">
        <v>1176</v>
      </c>
      <c r="N93" s="185">
        <f>+VLOOKUP(B93,dotpop24!$A$10:$L$178,11,)</f>
        <v>1019437.26</v>
      </c>
      <c r="P93">
        <f>+VLOOKUP($B93,'SAE23'!$G$3:$L$181,4,0)</f>
        <v>30</v>
      </c>
      <c r="Q93">
        <f>+VLOOKUP($B93,basev2!$C$5:$Q$173,14,0)</f>
        <v>30</v>
      </c>
      <c r="R93">
        <f t="shared" si="2"/>
        <v>0</v>
      </c>
      <c r="S93">
        <f>+VLOOKUP($B93,'SAE23'!$G$3:$L$181,6,0)</f>
        <v>0</v>
      </c>
      <c r="T93">
        <f>+VLOOKUP($B93,basev2!$C$5:$Q$173,15,0)</f>
        <v>0</v>
      </c>
      <c r="U93">
        <f t="shared" si="3"/>
        <v>0</v>
      </c>
    </row>
    <row r="94" spans="1:21">
      <c r="A94" s="183" t="s">
        <v>22</v>
      </c>
      <c r="B94" s="183">
        <v>340011295</v>
      </c>
      <c r="C94" s="183" t="s">
        <v>121</v>
      </c>
      <c r="D94" s="183" t="s">
        <v>25</v>
      </c>
      <c r="E94" s="185">
        <v>25796</v>
      </c>
      <c r="F94" s="185">
        <v>23952</v>
      </c>
      <c r="G94" s="185">
        <v>1844</v>
      </c>
      <c r="H94" s="183" t="s">
        <v>1177</v>
      </c>
      <c r="I94" s="183" t="s">
        <v>1178</v>
      </c>
      <c r="J94" s="183" t="s">
        <v>1179</v>
      </c>
      <c r="K94" s="183" t="s">
        <v>1180</v>
      </c>
      <c r="L94" s="183" t="s">
        <v>1181</v>
      </c>
      <c r="N94" s="185">
        <f>+VLOOKUP(B94,dotpop24!$A$10:$L$178,11,)</f>
        <v>3247718.36</v>
      </c>
      <c r="P94" s="206">
        <f>+'SAE23'!J186</f>
        <v>72</v>
      </c>
      <c r="Q94">
        <f>+VLOOKUP($B94,basev2!$C$5:$Q$173,14,0)</f>
        <v>72</v>
      </c>
      <c r="R94">
        <f t="shared" si="2"/>
        <v>0</v>
      </c>
      <c r="S94">
        <f>+VLOOKUP($B94,'SAE23'!$G$3:$L$181,6,0)</f>
        <v>10</v>
      </c>
      <c r="T94">
        <f>+VLOOKUP($B94,basev2!$C$5:$Q$173,15,0)</f>
        <v>10</v>
      </c>
      <c r="U94">
        <f t="shared" si="3"/>
        <v>0</v>
      </c>
    </row>
    <row r="95" spans="1:21">
      <c r="A95" s="183" t="s">
        <v>30</v>
      </c>
      <c r="B95" s="183">
        <v>340019090</v>
      </c>
      <c r="C95" s="183" t="s">
        <v>122</v>
      </c>
      <c r="D95" s="183" t="s">
        <v>25</v>
      </c>
      <c r="E95" s="185">
        <v>50508</v>
      </c>
      <c r="F95" s="185">
        <v>35972</v>
      </c>
      <c r="G95" s="185">
        <v>14536</v>
      </c>
      <c r="H95" s="183" t="s">
        <v>1182</v>
      </c>
      <c r="I95" s="183" t="s">
        <v>1183</v>
      </c>
      <c r="J95" s="183" t="s">
        <v>1184</v>
      </c>
      <c r="K95" s="183" t="s">
        <v>1185</v>
      </c>
      <c r="L95" s="183" t="s">
        <v>1186</v>
      </c>
      <c r="N95" s="185">
        <f>+VLOOKUP(B95,dotpop24!$A$10:$L$178,11,)</f>
        <v>4025794</v>
      </c>
      <c r="P95">
        <f>+VLOOKUP($B95,'SAE23'!$D$3:$L$181,7,0)</f>
        <v>107</v>
      </c>
      <c r="Q95">
        <f>+VLOOKUP($B95,basev2!$C$5:$Q$173,14,0)</f>
        <v>107</v>
      </c>
      <c r="R95">
        <f t="shared" si="2"/>
        <v>0</v>
      </c>
      <c r="S95">
        <f>+VLOOKUP($B95,'SAE23'!$D$3:$L$181,9,0)</f>
        <v>60</v>
      </c>
      <c r="T95">
        <f>+VLOOKUP($B95,basev2!$C$5:$Q$173,15,0)</f>
        <v>60</v>
      </c>
      <c r="U95">
        <f t="shared" si="3"/>
        <v>0</v>
      </c>
    </row>
    <row r="96" spans="1:21">
      <c r="A96" s="183" t="s">
        <v>30</v>
      </c>
      <c r="B96" s="183">
        <v>340023258</v>
      </c>
      <c r="C96" s="183" t="s">
        <v>123</v>
      </c>
      <c r="D96" s="183" t="s">
        <v>25</v>
      </c>
      <c r="E96" s="185">
        <v>27165</v>
      </c>
      <c r="F96" s="185">
        <v>27165</v>
      </c>
      <c r="G96" s="183">
        <v>0</v>
      </c>
      <c r="H96" s="183" t="s">
        <v>1187</v>
      </c>
      <c r="I96" s="183" t="s">
        <v>1188</v>
      </c>
      <c r="J96" s="183" t="s">
        <v>1189</v>
      </c>
      <c r="K96" s="183" t="s">
        <v>1190</v>
      </c>
      <c r="L96" s="183" t="s">
        <v>1013</v>
      </c>
      <c r="N96" s="185">
        <f>+VLOOKUP(B96,dotpop24!$A$10:$L$178,11,)</f>
        <v>1921627.43</v>
      </c>
      <c r="P96">
        <f>+VLOOKUP($B96,'SAE23'!$D$3:$L$181,7,0)</f>
        <v>79</v>
      </c>
      <c r="Q96">
        <f>+VLOOKUP($B96,basev2!$C$5:$Q$173,14,0)</f>
        <v>79</v>
      </c>
      <c r="R96">
        <f t="shared" si="2"/>
        <v>0</v>
      </c>
      <c r="S96">
        <f>+VLOOKUP($B96,'SAE23'!$D$3:$L$181,9,0)</f>
        <v>0</v>
      </c>
      <c r="T96">
        <f>+VLOOKUP($B96,basev2!$C$5:$Q$173,15,0)</f>
        <v>0</v>
      </c>
      <c r="U96">
        <f t="shared" si="3"/>
        <v>0</v>
      </c>
    </row>
    <row r="97" spans="1:21">
      <c r="A97" s="183" t="s">
        <v>30</v>
      </c>
      <c r="B97" s="183">
        <v>340024512</v>
      </c>
      <c r="C97" s="183" t="s">
        <v>124</v>
      </c>
      <c r="D97" s="183" t="s">
        <v>25</v>
      </c>
      <c r="E97" s="185">
        <v>9231</v>
      </c>
      <c r="F97" s="183">
        <v>0</v>
      </c>
      <c r="G97" s="185">
        <v>9231</v>
      </c>
      <c r="H97" s="183" t="s">
        <v>850</v>
      </c>
      <c r="I97" s="183" t="s">
        <v>1191</v>
      </c>
      <c r="J97" s="183" t="s">
        <v>1192</v>
      </c>
      <c r="K97" s="183" t="s">
        <v>1038</v>
      </c>
      <c r="L97" s="183" t="s">
        <v>1193</v>
      </c>
      <c r="N97" s="185">
        <f>+VLOOKUP(B97,dotpop24!$A$10:$L$178,11,)</f>
        <v>664491.17000000004</v>
      </c>
      <c r="P97" t="str">
        <f>+VLOOKUP($B97,'SAE23'!$D$3:$L$181,7,0)</f>
        <v/>
      </c>
      <c r="Q97">
        <f>+VLOOKUP($B97,basev2!$C$5:$Q$173,14,0)</f>
        <v>0</v>
      </c>
      <c r="S97">
        <f>+VLOOKUP($B97,'SAE23'!$D$3:$L$181,9,0)</f>
        <v>50</v>
      </c>
      <c r="T97">
        <f>+VLOOKUP($B97,basev2!$C$5:$Q$173,15,0)</f>
        <v>50</v>
      </c>
      <c r="U97">
        <f t="shared" si="3"/>
        <v>0</v>
      </c>
    </row>
    <row r="98" spans="1:21">
      <c r="A98" s="183" t="s">
        <v>30</v>
      </c>
      <c r="B98" s="183">
        <v>340024546</v>
      </c>
      <c r="C98" s="183" t="s">
        <v>125</v>
      </c>
      <c r="D98" s="183" t="s">
        <v>25</v>
      </c>
      <c r="E98" s="185">
        <v>27307</v>
      </c>
      <c r="F98" s="185">
        <v>27307</v>
      </c>
      <c r="G98" s="183">
        <v>0</v>
      </c>
      <c r="H98" s="183" t="s">
        <v>1194</v>
      </c>
      <c r="I98" s="183" t="s">
        <v>1195</v>
      </c>
      <c r="J98" s="183" t="s">
        <v>1196</v>
      </c>
      <c r="K98" s="183" t="s">
        <v>1197</v>
      </c>
      <c r="L98" s="183" t="s">
        <v>1198</v>
      </c>
      <c r="N98" s="185">
        <f>+VLOOKUP(B98,dotpop24!$A$10:$L$178,11,)</f>
        <v>1844049.83</v>
      </c>
      <c r="P98">
        <f>+VLOOKUP($B98,'SAE23'!$D$3:$L$181,7,0)</f>
        <v>82</v>
      </c>
      <c r="Q98">
        <f>+VLOOKUP($B98,basev2!$C$5:$Q$173,14,0)</f>
        <v>82</v>
      </c>
      <c r="R98">
        <f t="shared" si="2"/>
        <v>0</v>
      </c>
      <c r="S98">
        <f>+VLOOKUP($B98,'SAE23'!$D$3:$L$181,9,0)</f>
        <v>0</v>
      </c>
      <c r="T98">
        <f>+VLOOKUP($B98,basev2!$C$5:$Q$173,15,0)</f>
        <v>0</v>
      </c>
      <c r="U98">
        <f t="shared" si="3"/>
        <v>0</v>
      </c>
    </row>
    <row r="99" spans="1:21">
      <c r="A99" s="183" t="s">
        <v>30</v>
      </c>
      <c r="B99" s="183">
        <v>340027887</v>
      </c>
      <c r="C99" s="183" t="s">
        <v>126</v>
      </c>
      <c r="D99" s="183" t="s">
        <v>25</v>
      </c>
      <c r="E99" s="185">
        <v>39512</v>
      </c>
      <c r="F99" s="185">
        <v>35953</v>
      </c>
      <c r="G99" s="185">
        <v>3559</v>
      </c>
      <c r="H99" s="183" t="s">
        <v>1199</v>
      </c>
      <c r="I99" s="183" t="s">
        <v>1200</v>
      </c>
      <c r="J99" s="183" t="s">
        <v>1201</v>
      </c>
      <c r="K99" s="183" t="s">
        <v>1202</v>
      </c>
      <c r="L99" s="183" t="s">
        <v>1203</v>
      </c>
      <c r="N99" s="185">
        <f>+VLOOKUP(B99,dotpop24!$A$10:$L$178,11,)</f>
        <v>4010328.34</v>
      </c>
      <c r="P99">
        <f>+VLOOKUP($B99,'SAE23'!$D$3:$L$181,7,0)</f>
        <v>111</v>
      </c>
      <c r="Q99">
        <f>+VLOOKUP($B99,basev2!$C$5:$Q$173,14,0)</f>
        <v>111</v>
      </c>
      <c r="R99">
        <f t="shared" si="2"/>
        <v>0</v>
      </c>
      <c r="S99">
        <f>+VLOOKUP($B99,'SAE23'!$D$3:$L$181,9,0)</f>
        <v>40</v>
      </c>
      <c r="T99">
        <f>+VLOOKUP($B99,basev2!$C$5:$Q$173,15,0)</f>
        <v>40</v>
      </c>
      <c r="U99">
        <f t="shared" si="3"/>
        <v>0</v>
      </c>
    </row>
    <row r="100" spans="1:21">
      <c r="A100" s="183" t="s">
        <v>22</v>
      </c>
      <c r="B100" s="183">
        <v>340780055</v>
      </c>
      <c r="C100" s="183" t="s">
        <v>127</v>
      </c>
      <c r="D100" s="183" t="s">
        <v>25</v>
      </c>
      <c r="E100" s="185">
        <v>17686</v>
      </c>
      <c r="F100" s="185">
        <v>17686</v>
      </c>
      <c r="G100" s="183">
        <v>0</v>
      </c>
      <c r="H100" s="183" t="s">
        <v>1204</v>
      </c>
      <c r="I100" s="183" t="s">
        <v>1205</v>
      </c>
      <c r="J100" s="183" t="s">
        <v>1206</v>
      </c>
      <c r="K100" s="183" t="s">
        <v>1207</v>
      </c>
      <c r="L100" s="183" t="s">
        <v>1208</v>
      </c>
      <c r="N100" s="185">
        <f>+VLOOKUP(B100,dotpop24!$A$10:$L$178,11,)</f>
        <v>2006810.78</v>
      </c>
      <c r="P100">
        <f>+VLOOKUP($B100,'SAE23'!$G$3:$L$181,4,0)</f>
        <v>57</v>
      </c>
      <c r="Q100">
        <f>+VLOOKUP($B100,basev2!$C$5:$Q$173,14,0)</f>
        <v>57</v>
      </c>
      <c r="R100">
        <f t="shared" si="2"/>
        <v>0</v>
      </c>
      <c r="S100">
        <f>+VLOOKUP($B100,'SAE23'!$G$3:$L$181,6,0)</f>
        <v>0</v>
      </c>
      <c r="T100">
        <f>+VLOOKUP($B100,basev2!$C$5:$Q$173,15,0)</f>
        <v>0</v>
      </c>
      <c r="U100">
        <f t="shared" si="3"/>
        <v>0</v>
      </c>
    </row>
    <row r="101" spans="1:21">
      <c r="A101" s="183" t="s">
        <v>30</v>
      </c>
      <c r="B101" s="183">
        <v>340780196</v>
      </c>
      <c r="C101" s="183" t="s">
        <v>128</v>
      </c>
      <c r="D101" s="183" t="s">
        <v>25</v>
      </c>
      <c r="E101" s="185">
        <v>37245</v>
      </c>
      <c r="F101" s="185">
        <v>25860</v>
      </c>
      <c r="G101" s="185">
        <v>11385</v>
      </c>
      <c r="H101" s="183" t="s">
        <v>1209</v>
      </c>
      <c r="I101" s="183" t="s">
        <v>1210</v>
      </c>
      <c r="J101" s="183" t="s">
        <v>1025</v>
      </c>
      <c r="K101" s="183" t="s">
        <v>1211</v>
      </c>
      <c r="L101" s="183" t="s">
        <v>1021</v>
      </c>
      <c r="N101" s="185">
        <f>+VLOOKUP(B101,dotpop24!$A$10:$L$178,11,)</f>
        <v>2763984</v>
      </c>
      <c r="P101">
        <f>+VLOOKUP($B101,'SAE23'!$D$3:$L$181,7,0)</f>
        <v>80</v>
      </c>
      <c r="Q101">
        <f>+VLOOKUP($B101,basev2!$C$5:$Q$173,14,0)</f>
        <v>80</v>
      </c>
      <c r="R101">
        <f t="shared" si="2"/>
        <v>0</v>
      </c>
      <c r="S101">
        <f>+VLOOKUP($B101,'SAE23'!$D$3:$L$181,9,0)</f>
        <v>60</v>
      </c>
      <c r="T101">
        <f>+VLOOKUP($B101,basev2!$C$5:$Q$173,15,0)</f>
        <v>60</v>
      </c>
      <c r="U101">
        <f t="shared" si="3"/>
        <v>0</v>
      </c>
    </row>
    <row r="102" spans="1:21">
      <c r="A102" s="183" t="s">
        <v>30</v>
      </c>
      <c r="B102" s="183">
        <v>340780212</v>
      </c>
      <c r="C102" s="210" t="s">
        <v>129</v>
      </c>
      <c r="D102" s="183" t="s">
        <v>25</v>
      </c>
      <c r="E102" s="185">
        <v>65886</v>
      </c>
      <c r="F102" s="185">
        <v>59913</v>
      </c>
      <c r="G102" s="185">
        <v>5973</v>
      </c>
      <c r="H102" s="183" t="s">
        <v>1212</v>
      </c>
      <c r="I102" s="183" t="s">
        <v>1213</v>
      </c>
      <c r="J102" s="183" t="s">
        <v>1214</v>
      </c>
      <c r="K102" s="183" t="s">
        <v>1215</v>
      </c>
      <c r="L102" s="183" t="s">
        <v>1216</v>
      </c>
      <c r="N102" s="185">
        <f>+VLOOKUP(B102,dotpop24!$A$10:$L$178,11,)</f>
        <v>8793272.1300000008</v>
      </c>
      <c r="P102">
        <f>+VLOOKUP($B102,'SAE23'!$D$3:$L$181,7,0)</f>
        <v>179</v>
      </c>
      <c r="Q102">
        <f>+VLOOKUP($B102,basev2!$C$5:$Q$173,14,0)</f>
        <v>187</v>
      </c>
      <c r="R102">
        <f t="shared" si="2"/>
        <v>-8</v>
      </c>
      <c r="S102">
        <f>+VLOOKUP($B102,'SAE23'!$D$3:$L$181,9,0)</f>
        <v>30</v>
      </c>
      <c r="T102">
        <f>+VLOOKUP($B102,basev2!$C$5:$Q$173,15,0)</f>
        <v>40</v>
      </c>
      <c r="U102">
        <f t="shared" si="3"/>
        <v>-10</v>
      </c>
    </row>
    <row r="103" spans="1:21">
      <c r="A103" s="183" t="s">
        <v>30</v>
      </c>
      <c r="B103" s="183">
        <v>340780253</v>
      </c>
      <c r="C103" s="183" t="s">
        <v>130</v>
      </c>
      <c r="D103" s="183" t="s">
        <v>25</v>
      </c>
      <c r="E103" s="185">
        <v>18066</v>
      </c>
      <c r="F103" s="185">
        <v>18066</v>
      </c>
      <c r="G103" s="183">
        <v>0</v>
      </c>
      <c r="H103" s="183" t="s">
        <v>1217</v>
      </c>
      <c r="I103" s="183" t="s">
        <v>1218</v>
      </c>
      <c r="J103" s="183" t="s">
        <v>1219</v>
      </c>
      <c r="K103" s="183" t="s">
        <v>1220</v>
      </c>
      <c r="L103" s="183" t="s">
        <v>1221</v>
      </c>
      <c r="N103" s="185">
        <f>+VLOOKUP(B103,dotpop24!$A$10:$L$178,11,)</f>
        <v>1332557.55</v>
      </c>
      <c r="P103">
        <f>+VLOOKUP($B103,'SAE23'!$D$3:$L$181,7,0)</f>
        <v>56</v>
      </c>
      <c r="Q103">
        <f>+VLOOKUP($B103,basev2!$C$5:$Q$173,14,0)</f>
        <v>56</v>
      </c>
      <c r="R103">
        <f t="shared" si="2"/>
        <v>0</v>
      </c>
      <c r="S103">
        <f>+VLOOKUP($B103,'SAE23'!$D$3:$L$181,9,0)</f>
        <v>0</v>
      </c>
      <c r="T103">
        <f>+VLOOKUP($B103,basev2!$C$5:$Q$173,15,0)</f>
        <v>0</v>
      </c>
      <c r="U103">
        <f t="shared" si="3"/>
        <v>0</v>
      </c>
    </row>
    <row r="104" spans="1:21">
      <c r="A104" s="183" t="s">
        <v>22</v>
      </c>
      <c r="B104" s="183">
        <v>340780469</v>
      </c>
      <c r="C104" s="183" t="s">
        <v>131</v>
      </c>
      <c r="D104" s="183" t="s">
        <v>25</v>
      </c>
      <c r="E104" s="185">
        <v>12654</v>
      </c>
      <c r="F104" s="185">
        <v>12654</v>
      </c>
      <c r="G104" s="183">
        <v>0</v>
      </c>
      <c r="H104" s="183" t="s">
        <v>1222</v>
      </c>
      <c r="I104" s="183" t="s">
        <v>1223</v>
      </c>
      <c r="J104" s="183" t="s">
        <v>1224</v>
      </c>
      <c r="K104" s="183" t="s">
        <v>1225</v>
      </c>
      <c r="L104" s="183" t="s">
        <v>905</v>
      </c>
      <c r="N104" s="185">
        <f>+VLOOKUP(B104,dotpop24!$A$10:$L$178,11,)</f>
        <v>1451650.04</v>
      </c>
      <c r="P104">
        <f>25+20</f>
        <v>45</v>
      </c>
      <c r="Q104">
        <f>+VLOOKUP($B104,basev2!$C$5:$Q$173,14,0)</f>
        <v>45</v>
      </c>
      <c r="R104">
        <f t="shared" si="2"/>
        <v>0</v>
      </c>
      <c r="S104">
        <f>+VLOOKUP($B104,'SAE23'!$G$3:$L$181,6,0)</f>
        <v>0</v>
      </c>
      <c r="T104">
        <f>+VLOOKUP($B104,basev2!$C$5:$Q$173,15,0)</f>
        <v>0</v>
      </c>
      <c r="U104">
        <f t="shared" si="3"/>
        <v>0</v>
      </c>
    </row>
    <row r="105" spans="1:21">
      <c r="A105" s="183" t="s">
        <v>61</v>
      </c>
      <c r="B105" s="183">
        <v>340780477</v>
      </c>
      <c r="C105" s="183" t="s">
        <v>132</v>
      </c>
      <c r="D105" s="183" t="s">
        <v>25</v>
      </c>
      <c r="E105" s="185">
        <v>30917</v>
      </c>
      <c r="F105" s="185">
        <v>23713</v>
      </c>
      <c r="G105" s="185">
        <v>7204</v>
      </c>
      <c r="H105" s="183" t="s">
        <v>1093</v>
      </c>
      <c r="I105" s="183" t="s">
        <v>1226</v>
      </c>
      <c r="J105" s="183" t="s">
        <v>1227</v>
      </c>
      <c r="K105" s="183" t="s">
        <v>1088</v>
      </c>
      <c r="L105" s="183" t="s">
        <v>900</v>
      </c>
      <c r="N105" s="185">
        <f>+VLOOKUP(B105,dotpop24!$A$10:$L$178,11,)</f>
        <v>5163128.7300000004</v>
      </c>
      <c r="P105">
        <v>86</v>
      </c>
      <c r="Q105">
        <f>+VLOOKUP($B105,basev2!$C$5:$Q$173,14,0)</f>
        <v>86</v>
      </c>
      <c r="R105">
        <f t="shared" si="2"/>
        <v>0</v>
      </c>
      <c r="S105">
        <v>21</v>
      </c>
      <c r="T105">
        <f>+VLOOKUP($B105,basev2!$C$5:$Q$173,15,0)</f>
        <v>21</v>
      </c>
      <c r="U105">
        <f t="shared" si="3"/>
        <v>0</v>
      </c>
    </row>
    <row r="106" spans="1:21">
      <c r="A106" s="183" t="s">
        <v>22</v>
      </c>
      <c r="B106" s="183">
        <v>340780519</v>
      </c>
      <c r="C106" s="183" t="s">
        <v>133</v>
      </c>
      <c r="D106" s="183" t="s">
        <v>25</v>
      </c>
      <c r="E106" s="185">
        <v>5870</v>
      </c>
      <c r="F106" s="185">
        <v>5870</v>
      </c>
      <c r="G106" s="183">
        <v>0</v>
      </c>
      <c r="H106" s="183" t="s">
        <v>1228</v>
      </c>
      <c r="I106" s="183" t="s">
        <v>1229</v>
      </c>
      <c r="J106" s="183" t="s">
        <v>1230</v>
      </c>
      <c r="K106" s="183" t="s">
        <v>1106</v>
      </c>
      <c r="L106" s="183" t="s">
        <v>849</v>
      </c>
      <c r="N106" s="185">
        <f>+VLOOKUP(B106,dotpop24!$A$10:$L$178,11,)</f>
        <v>657060.18000000005</v>
      </c>
      <c r="P106">
        <f>+VLOOKUP($B106,'SAE23'!$G$3:$L$181,4,0)</f>
        <v>18</v>
      </c>
      <c r="Q106">
        <f>+VLOOKUP($B106,basev2!$C$5:$Q$173,14,0)</f>
        <v>18</v>
      </c>
      <c r="R106">
        <f t="shared" si="2"/>
        <v>0</v>
      </c>
      <c r="S106">
        <f>+VLOOKUP($B106,'SAE23'!$G$3:$L$181,6,0)</f>
        <v>0</v>
      </c>
      <c r="T106">
        <f>+VLOOKUP($B106,basev2!$C$5:$Q$173,15,0)</f>
        <v>0</v>
      </c>
      <c r="U106">
        <f t="shared" si="3"/>
        <v>0</v>
      </c>
    </row>
    <row r="107" spans="1:21">
      <c r="A107" s="183" t="s">
        <v>22</v>
      </c>
      <c r="B107" s="183">
        <v>340780543</v>
      </c>
      <c r="C107" s="183" t="s">
        <v>134</v>
      </c>
      <c r="D107" s="183" t="s">
        <v>25</v>
      </c>
      <c r="E107" s="185">
        <v>6294</v>
      </c>
      <c r="F107" s="185">
        <v>6294</v>
      </c>
      <c r="G107" s="183">
        <v>0</v>
      </c>
      <c r="H107" s="183" t="s">
        <v>1231</v>
      </c>
      <c r="I107" s="183" t="s">
        <v>1232</v>
      </c>
      <c r="J107" s="183" t="s">
        <v>1233</v>
      </c>
      <c r="K107" s="183" t="s">
        <v>1234</v>
      </c>
      <c r="L107" s="183" t="s">
        <v>1235</v>
      </c>
      <c r="N107" s="185">
        <f>+VLOOKUP(B107,dotpop24!$A$10:$L$178,11,)</f>
        <v>616123.56000000006</v>
      </c>
      <c r="P107">
        <f>+VLOOKUP($B107,'SAE23'!$G$3:$L$181,4,0)</f>
        <v>17</v>
      </c>
      <c r="Q107">
        <f>+VLOOKUP($B107,basev2!$C$5:$Q$173,14,0)</f>
        <v>17</v>
      </c>
      <c r="R107">
        <f t="shared" si="2"/>
        <v>0</v>
      </c>
      <c r="S107">
        <f>+VLOOKUP($B107,'SAE23'!$G$3:$L$181,6,0)</f>
        <v>0</v>
      </c>
      <c r="T107">
        <f>+VLOOKUP($B107,basev2!$C$5:$Q$173,15,0)</f>
        <v>0</v>
      </c>
      <c r="U107">
        <f t="shared" si="3"/>
        <v>0</v>
      </c>
    </row>
    <row r="108" spans="1:21">
      <c r="A108" s="183" t="s">
        <v>30</v>
      </c>
      <c r="B108" s="183">
        <v>340780568</v>
      </c>
      <c r="C108" s="183" t="s">
        <v>135</v>
      </c>
      <c r="D108" s="183" t="s">
        <v>25</v>
      </c>
      <c r="E108" s="185">
        <v>26210</v>
      </c>
      <c r="F108" s="185">
        <v>24275</v>
      </c>
      <c r="G108" s="185">
        <v>1935</v>
      </c>
      <c r="H108" s="183" t="s">
        <v>1236</v>
      </c>
      <c r="I108" s="183" t="s">
        <v>1237</v>
      </c>
      <c r="J108" s="183" t="s">
        <v>1238</v>
      </c>
      <c r="K108" s="183" t="s">
        <v>978</v>
      </c>
      <c r="L108" s="183" t="s">
        <v>1239</v>
      </c>
      <c r="N108" s="185">
        <f>+VLOOKUP(B108,dotpop24!$A$10:$L$178,11,)</f>
        <v>1420599.87</v>
      </c>
      <c r="P108">
        <f>+VLOOKUP($B108,'SAE23'!$D$3:$L$181,7,0)</f>
        <v>50</v>
      </c>
      <c r="Q108">
        <f>+VLOOKUP($B108,basev2!$C$5:$Q$173,14,0)</f>
        <v>50</v>
      </c>
      <c r="R108">
        <f t="shared" si="2"/>
        <v>0</v>
      </c>
      <c r="S108">
        <f>+VLOOKUP($B108,'SAE23'!$D$3:$L$181,9,0)</f>
        <v>10</v>
      </c>
      <c r="T108">
        <f>+VLOOKUP($B108,basev2!$C$5:$Q$173,15,0)</f>
        <v>10</v>
      </c>
      <c r="U108">
        <f t="shared" si="3"/>
        <v>0</v>
      </c>
    </row>
    <row r="109" spans="1:21">
      <c r="A109" s="183" t="s">
        <v>30</v>
      </c>
      <c r="B109" s="183">
        <v>340780816</v>
      </c>
      <c r="C109" s="183" t="s">
        <v>136</v>
      </c>
      <c r="D109" s="183" t="s">
        <v>25</v>
      </c>
      <c r="E109" s="185">
        <v>17032</v>
      </c>
      <c r="F109" s="185">
        <v>17032</v>
      </c>
      <c r="G109" s="183">
        <v>0</v>
      </c>
      <c r="H109" s="183" t="s">
        <v>1194</v>
      </c>
      <c r="I109" s="183" t="s">
        <v>1240</v>
      </c>
      <c r="J109" s="183" t="s">
        <v>862</v>
      </c>
      <c r="K109" s="183" t="s">
        <v>1207</v>
      </c>
      <c r="L109" s="183" t="s">
        <v>1241</v>
      </c>
      <c r="N109" s="185">
        <f>+VLOOKUP(B109,dotpop24!$A$10:$L$178,11,)</f>
        <v>3282282.11</v>
      </c>
      <c r="P109">
        <f>+VLOOKUP($B109,'SAE23'!$D$3:$L$181,7,0)</f>
        <v>107</v>
      </c>
      <c r="Q109">
        <f>+VLOOKUP($B109,basev2!$C$5:$Q$173,14,0)</f>
        <v>107</v>
      </c>
      <c r="R109">
        <f t="shared" si="2"/>
        <v>0</v>
      </c>
      <c r="S109">
        <f>+VLOOKUP($B109,'SAE23'!$D$3:$L$181,9,0)</f>
        <v>0</v>
      </c>
      <c r="T109">
        <f>+VLOOKUP($B109,basev2!$C$5:$Q$173,15,0)</f>
        <v>0</v>
      </c>
      <c r="U109">
        <f t="shared" si="3"/>
        <v>0</v>
      </c>
    </row>
    <row r="110" spans="1:21">
      <c r="A110" s="183" t="s">
        <v>30</v>
      </c>
      <c r="B110" s="183">
        <v>340780857</v>
      </c>
      <c r="C110" s="183" t="s">
        <v>137</v>
      </c>
      <c r="D110" s="183" t="s">
        <v>25</v>
      </c>
      <c r="E110" s="185">
        <v>43822</v>
      </c>
      <c r="F110" s="185">
        <v>32363</v>
      </c>
      <c r="G110" s="185">
        <v>11459</v>
      </c>
      <c r="H110" s="183" t="s">
        <v>1242</v>
      </c>
      <c r="I110" s="183" t="s">
        <v>1243</v>
      </c>
      <c r="J110" s="183" t="s">
        <v>1179</v>
      </c>
      <c r="K110" s="183" t="s">
        <v>843</v>
      </c>
      <c r="L110" s="183" t="s">
        <v>1244</v>
      </c>
      <c r="N110" s="185">
        <f>+VLOOKUP(B110,dotpop24!$A$10:$L$178,11,)</f>
        <v>2920699</v>
      </c>
      <c r="P110">
        <f>+VLOOKUP($B110,'SAE23'!$D$3:$L$181,7,0)</f>
        <v>106</v>
      </c>
      <c r="Q110">
        <f>+VLOOKUP($B110,basev2!$C$5:$Q$173,14,0)</f>
        <v>106</v>
      </c>
      <c r="R110">
        <f t="shared" si="2"/>
        <v>0</v>
      </c>
      <c r="S110">
        <f>+VLOOKUP($B110,'SAE23'!$D$3:$L$181,9,0)</f>
        <v>22</v>
      </c>
      <c r="T110">
        <f>+VLOOKUP($B110,basev2!$C$5:$Q$173,15,0)</f>
        <v>22</v>
      </c>
      <c r="U110">
        <f t="shared" si="3"/>
        <v>0</v>
      </c>
    </row>
    <row r="111" spans="1:21">
      <c r="A111" s="183" t="s">
        <v>33</v>
      </c>
      <c r="B111" s="183">
        <v>340781608</v>
      </c>
      <c r="C111" s="183" t="s">
        <v>138</v>
      </c>
      <c r="D111" s="183" t="s">
        <v>25</v>
      </c>
      <c r="E111" s="185">
        <v>17990</v>
      </c>
      <c r="F111" s="185">
        <v>14408</v>
      </c>
      <c r="G111" s="185">
        <v>3582</v>
      </c>
      <c r="H111" s="183" t="s">
        <v>1245</v>
      </c>
      <c r="I111" s="183" t="s">
        <v>1246</v>
      </c>
      <c r="J111" s="183" t="s">
        <v>1247</v>
      </c>
      <c r="K111" s="183" t="s">
        <v>1072</v>
      </c>
      <c r="L111" s="183" t="s">
        <v>950</v>
      </c>
      <c r="N111" s="185">
        <f>+VLOOKUP(B111,dotpop24!$A$10:$L$178,11,)</f>
        <v>3128806.48</v>
      </c>
      <c r="P111">
        <f>+VLOOKUP($B111,'SAE23'!$D$3:$L$181,7,0)</f>
        <v>60</v>
      </c>
      <c r="Q111">
        <f>+VLOOKUP($B111,basev2!$C$5:$Q$173,14,0)</f>
        <v>60</v>
      </c>
      <c r="R111">
        <f t="shared" si="2"/>
        <v>0</v>
      </c>
      <c r="S111">
        <f>+VLOOKUP($B111,'SAE23'!$D$3:$L$181,9,0)</f>
        <v>13</v>
      </c>
      <c r="T111">
        <f>+VLOOKUP($B111,basev2!$C$5:$Q$173,15,0)</f>
        <v>13</v>
      </c>
      <c r="U111">
        <f t="shared" si="3"/>
        <v>0</v>
      </c>
    </row>
    <row r="112" spans="1:21">
      <c r="A112" s="183" t="s">
        <v>30</v>
      </c>
      <c r="B112" s="183">
        <v>340782002</v>
      </c>
      <c r="C112" s="183" t="s">
        <v>139</v>
      </c>
      <c r="D112" s="183" t="s">
        <v>25</v>
      </c>
      <c r="E112" s="185">
        <v>28000</v>
      </c>
      <c r="F112" s="185">
        <v>24165</v>
      </c>
      <c r="G112" s="185">
        <v>3835</v>
      </c>
      <c r="H112" s="183" t="s">
        <v>1248</v>
      </c>
      <c r="I112" s="183" t="s">
        <v>1249</v>
      </c>
      <c r="J112" s="183" t="s">
        <v>1250</v>
      </c>
      <c r="K112" s="183" t="s">
        <v>1251</v>
      </c>
      <c r="L112" s="183" t="s">
        <v>1042</v>
      </c>
      <c r="N112" s="185">
        <f>+VLOOKUP(B112,dotpop24!$A$10:$L$178,11,)</f>
        <v>2523027.4700000002</v>
      </c>
      <c r="P112">
        <f>+VLOOKUP($B112,'SAE23'!$D$3:$L$181,7,0)</f>
        <v>73</v>
      </c>
      <c r="Q112">
        <f>+VLOOKUP($B112,basev2!$C$5:$Q$173,14,0)</f>
        <v>73</v>
      </c>
      <c r="R112">
        <f t="shared" si="2"/>
        <v>0</v>
      </c>
      <c r="S112">
        <f>+VLOOKUP($B112,'SAE23'!$D$3:$L$181,9,0)</f>
        <v>9</v>
      </c>
      <c r="T112">
        <f>+VLOOKUP($B112,basev2!$C$5:$Q$173,15,0)</f>
        <v>9</v>
      </c>
      <c r="U112">
        <f t="shared" si="3"/>
        <v>0</v>
      </c>
    </row>
    <row r="113" spans="1:21">
      <c r="A113" s="183" t="s">
        <v>30</v>
      </c>
      <c r="B113" s="183">
        <v>340789981</v>
      </c>
      <c r="C113" s="183" t="s">
        <v>140</v>
      </c>
      <c r="D113" s="183" t="s">
        <v>25</v>
      </c>
      <c r="E113" s="185">
        <v>44013</v>
      </c>
      <c r="F113" s="185">
        <v>32779</v>
      </c>
      <c r="G113" s="185">
        <v>11234</v>
      </c>
      <c r="H113" s="183" t="s">
        <v>1252</v>
      </c>
      <c r="I113" s="183" t="s">
        <v>1253</v>
      </c>
      <c r="J113" s="183" t="s">
        <v>1254</v>
      </c>
      <c r="K113" s="183" t="s">
        <v>1084</v>
      </c>
      <c r="L113" s="183" t="s">
        <v>1255</v>
      </c>
      <c r="N113" s="185">
        <f>+VLOOKUP(B113,dotpop24!$A$10:$L$178,11,)</f>
        <v>2563278.66</v>
      </c>
      <c r="P113">
        <f>+VLOOKUP($B113,'SAE23'!$D$3:$L$181,7,0)</f>
        <v>105</v>
      </c>
      <c r="Q113">
        <f>+VLOOKUP($B113,basev2!$C$5:$Q$173,14,0)</f>
        <v>105</v>
      </c>
      <c r="R113">
        <f t="shared" si="2"/>
        <v>0</v>
      </c>
      <c r="S113">
        <f>+VLOOKUP($B113,'SAE23'!$D$3:$L$181,9,0)</f>
        <v>28</v>
      </c>
      <c r="T113">
        <f>+VLOOKUP($B113,basev2!$C$5:$Q$173,15,0)</f>
        <v>28</v>
      </c>
      <c r="U113">
        <f t="shared" si="3"/>
        <v>0</v>
      </c>
    </row>
    <row r="114" spans="1:21">
      <c r="A114" s="183" t="s">
        <v>30</v>
      </c>
      <c r="B114" s="183">
        <v>340796093</v>
      </c>
      <c r="C114" s="183" t="s">
        <v>141</v>
      </c>
      <c r="D114" s="183" t="s">
        <v>25</v>
      </c>
      <c r="E114" s="185">
        <v>39714</v>
      </c>
      <c r="F114" s="185">
        <v>28341</v>
      </c>
      <c r="G114" s="185">
        <v>11373</v>
      </c>
      <c r="H114" s="183" t="s">
        <v>802</v>
      </c>
      <c r="I114" s="183" t="s">
        <v>1256</v>
      </c>
      <c r="J114" s="183" t="s">
        <v>1257</v>
      </c>
      <c r="K114" s="183" t="s">
        <v>1258</v>
      </c>
      <c r="L114" s="183" t="s">
        <v>1030</v>
      </c>
      <c r="N114" s="185">
        <f>+VLOOKUP(B114,dotpop24!$A$10:$L$178,11,)</f>
        <v>2822043.99</v>
      </c>
      <c r="P114">
        <f>+VLOOKUP($B114,'SAE23'!$D$3:$L$181,7,0)</f>
        <v>90</v>
      </c>
      <c r="Q114">
        <f>+VLOOKUP($B114,basev2!$C$5:$Q$173,14,0)</f>
        <v>90</v>
      </c>
      <c r="R114">
        <f t="shared" si="2"/>
        <v>0</v>
      </c>
      <c r="S114">
        <f>+VLOOKUP($B114,'SAE23'!$D$3:$L$181,9,0)</f>
        <v>50</v>
      </c>
      <c r="T114">
        <f>+VLOOKUP($B114,basev2!$C$5:$Q$173,15,0)</f>
        <v>50</v>
      </c>
      <c r="U114">
        <f t="shared" si="3"/>
        <v>0</v>
      </c>
    </row>
    <row r="115" spans="1:21">
      <c r="A115" s="183" t="s">
        <v>22</v>
      </c>
      <c r="B115" s="183">
        <v>340796358</v>
      </c>
      <c r="C115" s="183" t="s">
        <v>142</v>
      </c>
      <c r="D115" s="183" t="s">
        <v>25</v>
      </c>
      <c r="E115" s="185">
        <v>45596</v>
      </c>
      <c r="F115" s="185">
        <v>38733</v>
      </c>
      <c r="G115" s="185">
        <v>6863</v>
      </c>
      <c r="H115" s="183" t="s">
        <v>1259</v>
      </c>
      <c r="I115" s="183" t="s">
        <v>1260</v>
      </c>
      <c r="J115" s="183" t="s">
        <v>1261</v>
      </c>
      <c r="K115" s="183" t="s">
        <v>978</v>
      </c>
      <c r="L115" s="183" t="s">
        <v>1262</v>
      </c>
      <c r="N115" s="185">
        <f>+VLOOKUP(B115,dotpop24!$A$10:$L$178,11,)</f>
        <v>5364644.29</v>
      </c>
      <c r="P115">
        <f>+VLOOKUP($B115,'SAE23'!$G$3:$L$181,4,0)</f>
        <v>113</v>
      </c>
      <c r="Q115">
        <f>+VLOOKUP($B115,basev2!$C$5:$Q$173,14,0)</f>
        <v>113</v>
      </c>
      <c r="R115">
        <f t="shared" si="2"/>
        <v>0</v>
      </c>
      <c r="S115">
        <f>+VLOOKUP($B115,'SAE23'!$G$3:$L$181,6,0)</f>
        <v>19</v>
      </c>
      <c r="T115">
        <f>+VLOOKUP($B115,basev2!$C$5:$Q$173,15,0)</f>
        <v>19</v>
      </c>
      <c r="U115">
        <f t="shared" si="3"/>
        <v>0</v>
      </c>
    </row>
    <row r="116" spans="1:21">
      <c r="A116" s="183" t="s">
        <v>30</v>
      </c>
      <c r="B116" s="183">
        <v>340797596</v>
      </c>
      <c r="C116" s="183" t="s">
        <v>143</v>
      </c>
      <c r="D116" s="183" t="s">
        <v>25</v>
      </c>
      <c r="E116" s="185">
        <v>26314</v>
      </c>
      <c r="F116" s="185">
        <v>26314</v>
      </c>
      <c r="G116" s="183">
        <v>0</v>
      </c>
      <c r="H116" s="183" t="s">
        <v>1263</v>
      </c>
      <c r="I116" s="183" t="s">
        <v>1264</v>
      </c>
      <c r="J116" s="183" t="s">
        <v>1265</v>
      </c>
      <c r="K116" s="183" t="s">
        <v>1101</v>
      </c>
      <c r="L116" s="183" t="s">
        <v>1004</v>
      </c>
      <c r="N116" s="185">
        <f>+VLOOKUP(B116,dotpop24!$A$10:$L$178,11,)</f>
        <v>2082779.78</v>
      </c>
      <c r="P116">
        <f>+VLOOKUP($B116,'SAE23'!$D$3:$L$181,7,0)</f>
        <v>73</v>
      </c>
      <c r="Q116">
        <f>+VLOOKUP($B116,basev2!$C$5:$Q$173,14,0)</f>
        <v>73</v>
      </c>
      <c r="R116">
        <f t="shared" si="2"/>
        <v>0</v>
      </c>
      <c r="S116">
        <f>+VLOOKUP($B116,'SAE23'!$D$3:$L$181,9,0)</f>
        <v>0</v>
      </c>
      <c r="T116">
        <f>+VLOOKUP($B116,basev2!$C$5:$Q$173,15,0)</f>
        <v>0</v>
      </c>
      <c r="U116">
        <f t="shared" si="3"/>
        <v>0</v>
      </c>
    </row>
    <row r="117" spans="1:21" ht="30">
      <c r="A117" s="183" t="s">
        <v>30</v>
      </c>
      <c r="B117" s="183">
        <v>340798552</v>
      </c>
      <c r="C117" s="183" t="s">
        <v>144</v>
      </c>
      <c r="D117" s="183" t="s">
        <v>25</v>
      </c>
      <c r="E117" s="185">
        <v>28771</v>
      </c>
      <c r="F117" s="185">
        <v>28771</v>
      </c>
      <c r="G117" s="183">
        <v>0</v>
      </c>
      <c r="H117" s="183" t="s">
        <v>1266</v>
      </c>
      <c r="I117" s="183" t="s">
        <v>1267</v>
      </c>
      <c r="J117" s="183" t="s">
        <v>1268</v>
      </c>
      <c r="K117" s="183" t="s">
        <v>1072</v>
      </c>
      <c r="L117" s="183" t="s">
        <v>1269</v>
      </c>
      <c r="N117" s="185">
        <f>+VLOOKUP(B117,dotpop24!$A$10:$L$178,11,)</f>
        <v>2147398</v>
      </c>
      <c r="P117">
        <f>+VLOOKUP($B117,'SAE23'!$D$3:$L$181,7,0)</f>
        <v>80</v>
      </c>
      <c r="Q117">
        <f>+VLOOKUP($B117,basev2!$C$5:$Q$173,14,0)</f>
        <v>80</v>
      </c>
      <c r="R117">
        <f t="shared" si="2"/>
        <v>0</v>
      </c>
      <c r="S117">
        <f>+VLOOKUP($B117,'SAE23'!$D$3:$L$181,9,0)</f>
        <v>0</v>
      </c>
      <c r="T117">
        <f>+VLOOKUP($B117,basev2!$C$5:$Q$173,15,0)</f>
        <v>0</v>
      </c>
      <c r="U117">
        <f t="shared" si="3"/>
        <v>0</v>
      </c>
    </row>
    <row r="118" spans="1:21">
      <c r="A118" s="183" t="s">
        <v>33</v>
      </c>
      <c r="B118" s="183">
        <v>460000060</v>
      </c>
      <c r="C118" s="183" t="s">
        <v>145</v>
      </c>
      <c r="D118" s="183" t="s">
        <v>25</v>
      </c>
      <c r="E118" s="185">
        <v>40830</v>
      </c>
      <c r="F118" s="185">
        <v>36718</v>
      </c>
      <c r="G118" s="185">
        <v>4112</v>
      </c>
      <c r="H118" s="183" t="s">
        <v>1270</v>
      </c>
      <c r="I118" s="183" t="s">
        <v>836</v>
      </c>
      <c r="J118" s="183" t="s">
        <v>854</v>
      </c>
      <c r="K118" s="183" t="s">
        <v>1063</v>
      </c>
      <c r="L118" s="183" t="s">
        <v>1013</v>
      </c>
      <c r="N118" s="185">
        <f>+VLOOKUP(B118,dotpop24!$A$10:$L$178,11,)</f>
        <v>4834831.42</v>
      </c>
      <c r="P118">
        <f>+VLOOKUP($B118,'SAE23'!$D$3:$L$181,7,0)</f>
        <v>130</v>
      </c>
      <c r="Q118">
        <f>+VLOOKUP($B118,basev2!$C$5:$Q$173,14,0)</f>
        <v>130</v>
      </c>
      <c r="R118">
        <f t="shared" si="2"/>
        <v>0</v>
      </c>
      <c r="S118">
        <f>+VLOOKUP($B118,'SAE23'!$D$3:$L$181,9,0)</f>
        <v>5</v>
      </c>
      <c r="T118">
        <f>+VLOOKUP($B118,basev2!$C$5:$Q$173,15,0)</f>
        <v>5</v>
      </c>
      <c r="U118">
        <f t="shared" si="3"/>
        <v>0</v>
      </c>
    </row>
    <row r="119" spans="1:21">
      <c r="A119" s="183" t="s">
        <v>33</v>
      </c>
      <c r="B119" s="195">
        <v>460780554</v>
      </c>
      <c r="C119" s="195" t="s">
        <v>146</v>
      </c>
      <c r="D119" s="183" t="s">
        <v>25</v>
      </c>
      <c r="E119" s="185">
        <v>5677</v>
      </c>
      <c r="F119" s="185">
        <v>5677</v>
      </c>
      <c r="G119" s="183">
        <v>0</v>
      </c>
      <c r="H119" s="183" t="s">
        <v>1271</v>
      </c>
      <c r="I119" s="183" t="s">
        <v>1272</v>
      </c>
      <c r="J119" s="183" t="s">
        <v>1273</v>
      </c>
      <c r="K119" s="183" t="s">
        <v>1274</v>
      </c>
      <c r="L119" s="183" t="s">
        <v>1275</v>
      </c>
      <c r="N119" s="185">
        <f>+VLOOKUP(B119,dotpop24!$A$10:$L$178,11,)</f>
        <v>821731.69</v>
      </c>
      <c r="P119">
        <v>30</v>
      </c>
      <c r="Q119">
        <v>30</v>
      </c>
      <c r="R119">
        <f t="shared" si="2"/>
        <v>0</v>
      </c>
      <c r="U119">
        <f t="shared" si="3"/>
        <v>0</v>
      </c>
    </row>
    <row r="120" spans="1:21">
      <c r="A120" s="183" t="s">
        <v>30</v>
      </c>
      <c r="B120" s="183">
        <v>460006349</v>
      </c>
      <c r="C120" s="183" t="s">
        <v>147</v>
      </c>
      <c r="D120" s="183" t="s">
        <v>25</v>
      </c>
      <c r="E120" s="185">
        <v>12689</v>
      </c>
      <c r="F120" s="185">
        <v>12689</v>
      </c>
      <c r="G120" s="183">
        <v>0</v>
      </c>
      <c r="H120" s="183" t="s">
        <v>1276</v>
      </c>
      <c r="I120" s="183" t="s">
        <v>1277</v>
      </c>
      <c r="J120" s="183" t="s">
        <v>1278</v>
      </c>
      <c r="K120" s="183" t="s">
        <v>904</v>
      </c>
      <c r="L120" s="183" t="s">
        <v>1077</v>
      </c>
      <c r="N120" s="185">
        <f>+VLOOKUP(B120,dotpop24!$A$10:$L$178,11,)</f>
        <v>895231.8</v>
      </c>
      <c r="P120">
        <f>+VLOOKUP($B120,'SAE23'!$D$3:$L$181,7,0)</f>
        <v>42</v>
      </c>
      <c r="Q120">
        <f>+VLOOKUP($B120,basev2!$C$5:$Q$173,14,0)</f>
        <v>42</v>
      </c>
      <c r="R120">
        <f t="shared" si="2"/>
        <v>0</v>
      </c>
      <c r="S120">
        <f>+VLOOKUP($B120,'SAE23'!$D$3:$L$181,9,0)</f>
        <v>0</v>
      </c>
      <c r="T120">
        <f>+VLOOKUP($B120,basev2!$C$5:$Q$173,15,0)</f>
        <v>0</v>
      </c>
      <c r="U120">
        <f t="shared" si="3"/>
        <v>0</v>
      </c>
    </row>
    <row r="121" spans="1:21">
      <c r="A121" s="183" t="s">
        <v>30</v>
      </c>
      <c r="B121" s="183">
        <v>460780042</v>
      </c>
      <c r="C121" s="183" t="s">
        <v>148</v>
      </c>
      <c r="D121" s="183" t="s">
        <v>25</v>
      </c>
      <c r="E121" s="185">
        <v>19220</v>
      </c>
      <c r="F121" s="185">
        <v>19220</v>
      </c>
      <c r="G121" s="183">
        <v>0</v>
      </c>
      <c r="H121" s="183" t="s">
        <v>1279</v>
      </c>
      <c r="I121" s="183" t="s">
        <v>1127</v>
      </c>
      <c r="J121" s="183" t="s">
        <v>1280</v>
      </c>
      <c r="K121" s="183" t="s">
        <v>1281</v>
      </c>
      <c r="L121" s="183" t="s">
        <v>1282</v>
      </c>
      <c r="N121" s="185">
        <f>+VLOOKUP(B121,dotpop24!$A$10:$L$178,11,)</f>
        <v>1263201.5</v>
      </c>
      <c r="P121">
        <f>+VLOOKUP($B121,'SAE23'!$D$3:$L$181,7,0)</f>
        <v>56</v>
      </c>
      <c r="Q121">
        <f>+VLOOKUP($B121,basev2!$C$5:$Q$173,14,0)</f>
        <v>56</v>
      </c>
      <c r="R121">
        <f t="shared" si="2"/>
        <v>0</v>
      </c>
      <c r="S121">
        <f>+VLOOKUP($B121,'SAE23'!$D$3:$L$181,9,0)</f>
        <v>0</v>
      </c>
      <c r="T121">
        <f>+VLOOKUP($B121,basev2!$C$5:$Q$173,15,0)</f>
        <v>0</v>
      </c>
      <c r="U121">
        <f t="shared" si="3"/>
        <v>0</v>
      </c>
    </row>
    <row r="122" spans="1:21">
      <c r="A122" s="183" t="s">
        <v>22</v>
      </c>
      <c r="B122" s="183">
        <v>460780083</v>
      </c>
      <c r="C122" s="183" t="s">
        <v>149</v>
      </c>
      <c r="D122" s="183" t="s">
        <v>25</v>
      </c>
      <c r="E122" s="185">
        <v>10836</v>
      </c>
      <c r="F122" s="185">
        <v>10836</v>
      </c>
      <c r="G122" s="183">
        <v>0</v>
      </c>
      <c r="H122" s="183" t="s">
        <v>1283</v>
      </c>
      <c r="I122" s="183" t="s">
        <v>1284</v>
      </c>
      <c r="J122" s="183" t="s">
        <v>1285</v>
      </c>
      <c r="K122" s="183" t="s">
        <v>1286</v>
      </c>
      <c r="L122" s="183" t="s">
        <v>1287</v>
      </c>
      <c r="N122" s="185">
        <f>+VLOOKUP(B122,dotpop24!$A$10:$L$178,11,)</f>
        <v>1543588.11</v>
      </c>
      <c r="P122">
        <f>+VLOOKUP($B122,'SAE23'!$G$3:$L$181,4,0)</f>
        <v>37</v>
      </c>
      <c r="Q122">
        <f>+VLOOKUP($B122,basev2!$C$5:$Q$173,14,0)</f>
        <v>37</v>
      </c>
      <c r="R122">
        <f t="shared" si="2"/>
        <v>0</v>
      </c>
      <c r="S122">
        <f>+VLOOKUP($B122,'SAE23'!$G$3:$L$181,6,0)</f>
        <v>0</v>
      </c>
      <c r="T122">
        <f>+VLOOKUP($B122,basev2!$C$5:$Q$173,15,0)</f>
        <v>0</v>
      </c>
      <c r="U122">
        <f t="shared" si="3"/>
        <v>0</v>
      </c>
    </row>
    <row r="123" spans="1:21">
      <c r="A123" s="183" t="s">
        <v>22</v>
      </c>
      <c r="B123" s="183">
        <v>460780091</v>
      </c>
      <c r="C123" s="183" t="s">
        <v>150</v>
      </c>
      <c r="D123" s="183" t="s">
        <v>25</v>
      </c>
      <c r="E123" s="185">
        <v>7865</v>
      </c>
      <c r="F123" s="185">
        <v>7865</v>
      </c>
      <c r="G123" s="183">
        <v>0</v>
      </c>
      <c r="H123" s="183" t="s">
        <v>1288</v>
      </c>
      <c r="I123" s="183" t="s">
        <v>1229</v>
      </c>
      <c r="J123" s="183" t="s">
        <v>1289</v>
      </c>
      <c r="K123" s="183" t="s">
        <v>1290</v>
      </c>
      <c r="L123" s="183" t="s">
        <v>1291</v>
      </c>
      <c r="N123" s="185">
        <f>+VLOOKUP(B123,dotpop24!$A$10:$L$178,11,)</f>
        <v>1128055.3500000001</v>
      </c>
      <c r="P123">
        <f>+VLOOKUP($B123,'SAE23'!$G$3:$L$181,4,0)</f>
        <v>29</v>
      </c>
      <c r="Q123">
        <f>+VLOOKUP($B123,basev2!$C$5:$Q$173,14,0)</f>
        <v>29</v>
      </c>
      <c r="R123">
        <f t="shared" si="2"/>
        <v>0</v>
      </c>
      <c r="S123">
        <f>+VLOOKUP($B123,'SAE23'!$G$3:$L$181,6,0)</f>
        <v>0</v>
      </c>
      <c r="T123">
        <f>+VLOOKUP($B123,basev2!$C$5:$Q$173,15,0)</f>
        <v>0</v>
      </c>
      <c r="U123">
        <f t="shared" si="3"/>
        <v>0</v>
      </c>
    </row>
    <row r="124" spans="1:21">
      <c r="A124" s="183" t="s">
        <v>22</v>
      </c>
      <c r="B124" s="183">
        <v>460780208</v>
      </c>
      <c r="C124" s="183" t="s">
        <v>151</v>
      </c>
      <c r="D124" s="183" t="s">
        <v>25</v>
      </c>
      <c r="E124" s="185">
        <v>8768</v>
      </c>
      <c r="F124" s="185">
        <v>7198</v>
      </c>
      <c r="G124" s="185">
        <v>1570</v>
      </c>
      <c r="H124" s="183" t="s">
        <v>1138</v>
      </c>
      <c r="I124" s="183" t="s">
        <v>1292</v>
      </c>
      <c r="J124" s="183" t="s">
        <v>1293</v>
      </c>
      <c r="K124" s="183" t="s">
        <v>810</v>
      </c>
      <c r="L124" s="183" t="s">
        <v>1294</v>
      </c>
      <c r="N124" s="185">
        <f>+VLOOKUP(B124,dotpop24!$A$10:$L$178,11,)</f>
        <v>1930025.66</v>
      </c>
      <c r="P124">
        <f>+VLOOKUP($B124,'SAE23'!$G$3:$L$181,4,0)</f>
        <v>41</v>
      </c>
      <c r="Q124">
        <f>+VLOOKUP($B124,basev2!$C$5:$Q$173,14,0)</f>
        <v>41</v>
      </c>
      <c r="R124">
        <f t="shared" si="2"/>
        <v>0</v>
      </c>
      <c r="S124">
        <f>+VLOOKUP($B124,'SAE23'!$G$3:$L$181,6,0)</f>
        <v>3</v>
      </c>
      <c r="T124">
        <f>+VLOOKUP($B124,basev2!$C$5:$Q$173,15,0)</f>
        <v>3</v>
      </c>
      <c r="U124">
        <f t="shared" si="3"/>
        <v>0</v>
      </c>
    </row>
    <row r="125" spans="1:21">
      <c r="A125" s="183" t="s">
        <v>22</v>
      </c>
      <c r="B125" s="183">
        <v>460780216</v>
      </c>
      <c r="C125" s="183" t="s">
        <v>152</v>
      </c>
      <c r="D125" s="183" t="s">
        <v>25</v>
      </c>
      <c r="E125" s="185">
        <v>2027</v>
      </c>
      <c r="F125" s="183">
        <v>0</v>
      </c>
      <c r="G125" s="185">
        <v>2027</v>
      </c>
      <c r="H125" s="183" t="s">
        <v>1295</v>
      </c>
      <c r="I125" s="183" t="s">
        <v>1296</v>
      </c>
      <c r="J125" s="183" t="s">
        <v>1297</v>
      </c>
      <c r="K125" s="183" t="s">
        <v>1298</v>
      </c>
      <c r="L125" s="183" t="s">
        <v>1299</v>
      </c>
      <c r="N125" s="185">
        <f>+VLOOKUP(B125,dotpop24!$A$10:$L$178,11,)</f>
        <v>490011.85</v>
      </c>
      <c r="P125" t="str">
        <f>+VLOOKUP($B125,'SAE23'!$G$3:$L$181,4,0)</f>
        <v/>
      </c>
      <c r="Q125">
        <f>+VLOOKUP($B125,basev2!$C$5:$Q$173,14,0)</f>
        <v>0</v>
      </c>
      <c r="S125">
        <f>+VLOOKUP($B125,'SAE23'!$G$3:$L$181,6,0)</f>
        <v>10</v>
      </c>
      <c r="T125">
        <f>+VLOOKUP($B125,basev2!$C$5:$Q$173,15,0)</f>
        <v>10</v>
      </c>
      <c r="U125">
        <f t="shared" si="3"/>
        <v>0</v>
      </c>
    </row>
    <row r="126" spans="1:21">
      <c r="A126" s="183" t="s">
        <v>30</v>
      </c>
      <c r="B126" s="183">
        <v>460785900</v>
      </c>
      <c r="C126" s="183" t="s">
        <v>153</v>
      </c>
      <c r="D126" s="183" t="s">
        <v>25</v>
      </c>
      <c r="E126" s="185">
        <v>13004</v>
      </c>
      <c r="F126" s="185">
        <v>13004</v>
      </c>
      <c r="G126" s="183">
        <v>0</v>
      </c>
      <c r="H126" s="183" t="s">
        <v>1300</v>
      </c>
      <c r="I126" s="183" t="s">
        <v>1301</v>
      </c>
      <c r="J126" s="183" t="s">
        <v>844</v>
      </c>
      <c r="K126" s="183" t="s">
        <v>1302</v>
      </c>
      <c r="L126" s="183" t="s">
        <v>1158</v>
      </c>
      <c r="N126" s="185">
        <f>+VLOOKUP(B126,dotpop24!$A$10:$L$178,11,)</f>
        <v>588869.43000000005</v>
      </c>
      <c r="P126">
        <f>+VLOOKUP($B126,'SAE23'!$D$3:$L$181,7,0)</f>
        <v>38</v>
      </c>
      <c r="Q126">
        <f>+VLOOKUP($B126,basev2!$C$5:$Q$173,14,0)</f>
        <v>38</v>
      </c>
      <c r="R126">
        <f t="shared" si="2"/>
        <v>0</v>
      </c>
      <c r="S126">
        <f>+VLOOKUP($B126,'SAE23'!$D$3:$L$181,9,0)</f>
        <v>0</v>
      </c>
      <c r="T126">
        <f>+VLOOKUP($B126,basev2!$C$5:$Q$173,15,0)</f>
        <v>0</v>
      </c>
      <c r="U126">
        <f t="shared" si="3"/>
        <v>0</v>
      </c>
    </row>
    <row r="127" spans="1:21">
      <c r="A127" s="183" t="s">
        <v>33</v>
      </c>
      <c r="B127" s="183">
        <v>480000793</v>
      </c>
      <c r="C127" s="183" t="s">
        <v>154</v>
      </c>
      <c r="D127" s="183" t="s">
        <v>25</v>
      </c>
      <c r="E127" s="185">
        <v>9294</v>
      </c>
      <c r="F127" s="185">
        <v>8742</v>
      </c>
      <c r="G127" s="183">
        <v>552</v>
      </c>
      <c r="H127" s="183" t="s">
        <v>1303</v>
      </c>
      <c r="I127" s="183" t="s">
        <v>1304</v>
      </c>
      <c r="J127" s="183" t="s">
        <v>1305</v>
      </c>
      <c r="K127" s="183" t="s">
        <v>1306</v>
      </c>
      <c r="L127" s="183" t="s">
        <v>1307</v>
      </c>
      <c r="N127" s="185">
        <f>+VLOOKUP(B127,dotpop24!$A$10:$L$178,11,)</f>
        <v>931797.25</v>
      </c>
      <c r="P127">
        <f>+VLOOKUP($B127,'SAE23'!$D$3:$L$181,7,0)</f>
        <v>30</v>
      </c>
      <c r="Q127">
        <f>+VLOOKUP($B127,basev2!$C$5:$Q$173,14,0)</f>
        <v>30</v>
      </c>
      <c r="R127">
        <f t="shared" si="2"/>
        <v>0</v>
      </c>
      <c r="S127">
        <f>+VLOOKUP($B127,'SAE23'!$D$3:$L$181,9,0)</f>
        <v>3</v>
      </c>
      <c r="T127">
        <f>+VLOOKUP($B127,basev2!$C$5:$Q$173,15,0)</f>
        <v>3</v>
      </c>
      <c r="U127">
        <f t="shared" si="3"/>
        <v>0</v>
      </c>
    </row>
    <row r="128" spans="1:21">
      <c r="A128" s="183" t="s">
        <v>33</v>
      </c>
      <c r="B128" s="183">
        <v>480000835</v>
      </c>
      <c r="C128" s="183" t="s">
        <v>155</v>
      </c>
      <c r="D128" s="183" t="s">
        <v>25</v>
      </c>
      <c r="E128" s="185">
        <v>8700</v>
      </c>
      <c r="F128" s="185">
        <v>8700</v>
      </c>
      <c r="G128" s="183">
        <v>0</v>
      </c>
      <c r="H128" s="183" t="s">
        <v>1308</v>
      </c>
      <c r="I128" s="183" t="s">
        <v>1309</v>
      </c>
      <c r="J128" s="183" t="s">
        <v>1310</v>
      </c>
      <c r="K128" s="183" t="s">
        <v>1058</v>
      </c>
      <c r="L128" s="183" t="s">
        <v>1097</v>
      </c>
      <c r="N128" s="185">
        <f>+VLOOKUP(B128,dotpop24!$A$10:$L$178,11,)</f>
        <v>1077937.2</v>
      </c>
      <c r="P128">
        <f>+VLOOKUP($B128,'SAE23'!$D$3:$L$181,7,0)</f>
        <v>28</v>
      </c>
      <c r="Q128">
        <f>+VLOOKUP($B128,basev2!$C$5:$Q$173,14,0)</f>
        <v>28</v>
      </c>
      <c r="R128">
        <f t="shared" si="2"/>
        <v>0</v>
      </c>
      <c r="S128">
        <f>+VLOOKUP($B128,'SAE23'!$D$3:$L$181,9,0)</f>
        <v>0</v>
      </c>
      <c r="T128">
        <f>+VLOOKUP($B128,basev2!$C$5:$Q$173,15,0)</f>
        <v>0</v>
      </c>
      <c r="U128">
        <f t="shared" si="3"/>
        <v>0</v>
      </c>
    </row>
    <row r="129" spans="1:21">
      <c r="A129" s="183" t="s">
        <v>22</v>
      </c>
      <c r="B129" s="183">
        <v>480780097</v>
      </c>
      <c r="C129" s="183" t="s">
        <v>156</v>
      </c>
      <c r="D129" s="183" t="s">
        <v>25</v>
      </c>
      <c r="E129" s="185">
        <v>7098</v>
      </c>
      <c r="F129" s="185">
        <v>7098</v>
      </c>
      <c r="G129" s="183">
        <v>0</v>
      </c>
      <c r="H129" s="183" t="s">
        <v>1311</v>
      </c>
      <c r="I129" s="183" t="s">
        <v>1312</v>
      </c>
      <c r="J129" s="183" t="s">
        <v>1313</v>
      </c>
      <c r="K129" s="183" t="s">
        <v>1314</v>
      </c>
      <c r="L129" s="183" t="s">
        <v>1315</v>
      </c>
      <c r="N129" s="185">
        <f>+VLOOKUP(B129,dotpop24!$A$10:$L$178,11,)</f>
        <v>986037.99</v>
      </c>
      <c r="P129">
        <f>+VLOOKUP($B129,'SAE23'!$G$3:$L$181,4,0)</f>
        <v>14</v>
      </c>
      <c r="Q129">
        <f>+VLOOKUP($B129,basev2!$C$5:$Q$173,14,0)</f>
        <v>14</v>
      </c>
      <c r="R129">
        <f t="shared" si="2"/>
        <v>0</v>
      </c>
      <c r="S129">
        <f>+VLOOKUP($B129,'SAE23'!$G$3:$L$181,6,0)</f>
        <v>0</v>
      </c>
      <c r="T129">
        <f>+VLOOKUP($B129,basev2!$C$5:$Q$173,15,0)</f>
        <v>0</v>
      </c>
      <c r="U129">
        <f t="shared" si="3"/>
        <v>0</v>
      </c>
    </row>
    <row r="130" spans="1:21">
      <c r="A130" s="183" t="s">
        <v>22</v>
      </c>
      <c r="B130" s="183">
        <v>480780139</v>
      </c>
      <c r="C130" s="183" t="s">
        <v>157</v>
      </c>
      <c r="D130" s="183" t="s">
        <v>25</v>
      </c>
      <c r="E130" s="185">
        <v>3475</v>
      </c>
      <c r="F130" s="185">
        <v>3436</v>
      </c>
      <c r="G130" s="183">
        <v>39</v>
      </c>
      <c r="H130" s="183" t="s">
        <v>1129</v>
      </c>
      <c r="I130" s="183" t="s">
        <v>1316</v>
      </c>
      <c r="J130" s="183" t="s">
        <v>1317</v>
      </c>
      <c r="K130" s="183" t="s">
        <v>1186</v>
      </c>
      <c r="L130" s="183" t="s">
        <v>969</v>
      </c>
      <c r="N130" s="185">
        <f>+VLOOKUP(B130,dotpop24!$A$10:$L$178,11,)</f>
        <v>365113.88</v>
      </c>
      <c r="P130">
        <f>+VLOOKUP($B130,'SAE23'!$G$3:$L$181,4,0)</f>
        <v>15</v>
      </c>
      <c r="Q130">
        <f>+VLOOKUP($B130,basev2!$C$5:$Q$173,14,0)</f>
        <v>15</v>
      </c>
      <c r="R130">
        <f t="shared" si="2"/>
        <v>0</v>
      </c>
      <c r="S130">
        <f>+VLOOKUP($B130,'SAE23'!$G$3:$L$181,6,0)</f>
        <v>0</v>
      </c>
      <c r="T130">
        <f>+VLOOKUP($B130,basev2!$C$5:$Q$173,15,0)</f>
        <v>0</v>
      </c>
      <c r="U130">
        <f t="shared" si="3"/>
        <v>0</v>
      </c>
    </row>
    <row r="131" spans="1:21">
      <c r="A131" s="183" t="s">
        <v>22</v>
      </c>
      <c r="B131" s="183">
        <v>480780154</v>
      </c>
      <c r="C131" s="183" t="s">
        <v>158</v>
      </c>
      <c r="D131" s="183" t="s">
        <v>25</v>
      </c>
      <c r="E131" s="185">
        <v>5919</v>
      </c>
      <c r="F131" s="185">
        <v>5906</v>
      </c>
      <c r="G131" s="183">
        <v>13</v>
      </c>
      <c r="H131" s="183" t="s">
        <v>1081</v>
      </c>
      <c r="I131" s="183" t="s">
        <v>1318</v>
      </c>
      <c r="J131" s="183" t="s">
        <v>1319</v>
      </c>
      <c r="K131" s="183" t="s">
        <v>1320</v>
      </c>
      <c r="L131" s="183" t="s">
        <v>1133</v>
      </c>
      <c r="N131" s="185">
        <f>+VLOOKUP(B131,dotpop24!$A$10:$L$178,11,)</f>
        <v>776907.84</v>
      </c>
      <c r="P131">
        <f>+VLOOKUP($B131,'SAE23'!$G$3:$L$181,4,0)</f>
        <v>20</v>
      </c>
      <c r="Q131">
        <f>+VLOOKUP($B131,basev2!$C$5:$Q$173,14,0)</f>
        <v>20</v>
      </c>
      <c r="R131">
        <f t="shared" si="2"/>
        <v>0</v>
      </c>
      <c r="S131">
        <f>+VLOOKUP($B131,'SAE23'!$G$3:$L$181,6,0)</f>
        <v>0</v>
      </c>
      <c r="T131">
        <f>+VLOOKUP($B131,basev2!$C$5:$Q$173,15,0)</f>
        <v>0</v>
      </c>
      <c r="U131">
        <f t="shared" si="3"/>
        <v>0</v>
      </c>
    </row>
    <row r="132" spans="1:21">
      <c r="A132" s="183" t="s">
        <v>33</v>
      </c>
      <c r="B132" s="183">
        <v>480780212</v>
      </c>
      <c r="C132" s="183" t="s">
        <v>159</v>
      </c>
      <c r="D132" s="183" t="s">
        <v>25</v>
      </c>
      <c r="E132" s="185">
        <v>10874</v>
      </c>
      <c r="F132" s="185">
        <v>10874</v>
      </c>
      <c r="G132" s="183">
        <v>0</v>
      </c>
      <c r="H132" s="183" t="s">
        <v>1321</v>
      </c>
      <c r="I132" s="183" t="s">
        <v>1322</v>
      </c>
      <c r="J132" s="183" t="s">
        <v>805</v>
      </c>
      <c r="K132" s="183" t="s">
        <v>1166</v>
      </c>
      <c r="L132" s="183" t="s">
        <v>1323</v>
      </c>
      <c r="N132" s="185">
        <f>+VLOOKUP(B132,dotpop24!$A$10:$L$178,11,)</f>
        <v>980653.45</v>
      </c>
      <c r="P132">
        <f>+VLOOKUP($B132,'SAE23'!$D$3:$L$181,7,0)</f>
        <v>37</v>
      </c>
      <c r="Q132">
        <f>+VLOOKUP($B132,basev2!$C$5:$Q$173,14,0)</f>
        <v>37</v>
      </c>
      <c r="R132">
        <f t="shared" si="2"/>
        <v>0</v>
      </c>
      <c r="S132">
        <f>+VLOOKUP($B132,'SAE23'!$D$3:$L$181,9,0)</f>
        <v>0</v>
      </c>
      <c r="T132">
        <f>+VLOOKUP($B132,basev2!$C$5:$Q$173,15,0)</f>
        <v>0</v>
      </c>
      <c r="U132">
        <f t="shared" si="3"/>
        <v>0</v>
      </c>
    </row>
    <row r="133" spans="1:21">
      <c r="A133" s="183" t="s">
        <v>33</v>
      </c>
      <c r="B133" s="183">
        <v>480780287</v>
      </c>
      <c r="C133" s="183" t="s">
        <v>160</v>
      </c>
      <c r="D133" s="183" t="s">
        <v>25</v>
      </c>
      <c r="E133" s="185">
        <v>12266</v>
      </c>
      <c r="F133" s="185">
        <v>12266</v>
      </c>
      <c r="G133" s="183">
        <v>0</v>
      </c>
      <c r="H133" s="183" t="s">
        <v>1324</v>
      </c>
      <c r="I133" s="183" t="s">
        <v>1325</v>
      </c>
      <c r="J133" s="183" t="s">
        <v>1326</v>
      </c>
      <c r="K133" s="183" t="s">
        <v>998</v>
      </c>
      <c r="L133" s="183" t="s">
        <v>1327</v>
      </c>
      <c r="N133" s="185">
        <f>+VLOOKUP(B133,dotpop24!$A$10:$L$178,11,)</f>
        <v>974982.47</v>
      </c>
      <c r="P133">
        <f>+VLOOKUP($B133,'SAE23'!$D$3:$L$181,7,0)</f>
        <v>40</v>
      </c>
      <c r="Q133">
        <f>+VLOOKUP($B133,basev2!$C$5:$Q$173,14,0)</f>
        <v>40</v>
      </c>
      <c r="R133">
        <f t="shared" si="2"/>
        <v>0</v>
      </c>
      <c r="S133">
        <f>+VLOOKUP($B133,'SAE23'!$D$3:$L$181,9,0)</f>
        <v>0</v>
      </c>
      <c r="T133">
        <f>+VLOOKUP($B133,basev2!$C$5:$Q$173,15,0)</f>
        <v>0</v>
      </c>
      <c r="U133">
        <f t="shared" si="3"/>
        <v>0</v>
      </c>
    </row>
    <row r="134" spans="1:21">
      <c r="A134" s="183" t="s">
        <v>33</v>
      </c>
      <c r="B134" s="183">
        <v>480783034</v>
      </c>
      <c r="C134" s="183" t="s">
        <v>162</v>
      </c>
      <c r="D134" s="183" t="s">
        <v>25</v>
      </c>
      <c r="E134" s="185">
        <v>19299</v>
      </c>
      <c r="F134" s="185">
        <v>14809</v>
      </c>
      <c r="G134" s="185">
        <v>4490</v>
      </c>
      <c r="H134" s="183" t="s">
        <v>1331</v>
      </c>
      <c r="I134" s="183" t="s">
        <v>1332</v>
      </c>
      <c r="J134" s="183" t="s">
        <v>1333</v>
      </c>
      <c r="K134" s="183" t="s">
        <v>875</v>
      </c>
      <c r="L134" s="183" t="s">
        <v>1334</v>
      </c>
      <c r="N134" s="185">
        <f>+VLOOKUP(B134,dotpop24!$A$10:$L$178,11,)</f>
        <v>1891406.27</v>
      </c>
      <c r="P134">
        <f>+VLOOKUP($B134,'SAE23'!$D$3:$L$181,7,0)</f>
        <v>45</v>
      </c>
      <c r="Q134">
        <f>+VLOOKUP($B134,basev2!$C$5:$Q$173,14,0)</f>
        <v>45</v>
      </c>
      <c r="R134">
        <f t="shared" si="2"/>
        <v>0</v>
      </c>
      <c r="S134">
        <f>+VLOOKUP($B134,'SAE23'!$D$3:$L$181,9,0)</f>
        <v>17</v>
      </c>
      <c r="T134">
        <f>+VLOOKUP($B134,basev2!$C$5:$Q$173,15,0)</f>
        <v>17</v>
      </c>
      <c r="U134">
        <f t="shared" si="3"/>
        <v>0</v>
      </c>
    </row>
    <row r="135" spans="1:21">
      <c r="A135" s="183" t="s">
        <v>30</v>
      </c>
      <c r="B135" s="183">
        <v>650002579</v>
      </c>
      <c r="C135" s="183" t="s">
        <v>163</v>
      </c>
      <c r="D135" s="183" t="s">
        <v>25</v>
      </c>
      <c r="E135" s="185">
        <v>5957</v>
      </c>
      <c r="F135" s="185">
        <v>4685</v>
      </c>
      <c r="G135" s="185">
        <v>1272</v>
      </c>
      <c r="H135" s="183" t="s">
        <v>1335</v>
      </c>
      <c r="I135" s="183" t="s">
        <v>1336</v>
      </c>
      <c r="J135" s="183" t="s">
        <v>1337</v>
      </c>
      <c r="K135" s="183" t="s">
        <v>913</v>
      </c>
      <c r="L135" s="183" t="s">
        <v>1338</v>
      </c>
      <c r="N135" s="185">
        <f>+VLOOKUP(B135,dotpop24!$A$10:$L$178,11,)</f>
        <v>392916.88</v>
      </c>
      <c r="P135">
        <f>+VLOOKUP($B135,'SAE23'!$D$3:$L$181,7,0)</f>
        <v>30</v>
      </c>
      <c r="Q135">
        <f>+VLOOKUP($B135,basev2!$C$5:$Q$173,14,0)</f>
        <v>30</v>
      </c>
      <c r="R135">
        <f t="shared" si="2"/>
        <v>0</v>
      </c>
      <c r="S135">
        <f>+VLOOKUP($B135,'SAE23'!$D$3:$L$181,9,0)</f>
        <v>12</v>
      </c>
      <c r="T135">
        <f>+VLOOKUP($B135,basev2!$C$5:$Q$173,15,0)</f>
        <v>12</v>
      </c>
      <c r="U135">
        <f t="shared" si="3"/>
        <v>0</v>
      </c>
    </row>
    <row r="136" spans="1:21">
      <c r="A136" s="183" t="s">
        <v>22</v>
      </c>
      <c r="B136" s="183">
        <v>650780166</v>
      </c>
      <c r="C136" s="183" t="s">
        <v>165</v>
      </c>
      <c r="D136" s="183" t="s">
        <v>25</v>
      </c>
      <c r="E136" s="185">
        <v>57443</v>
      </c>
      <c r="F136" s="185">
        <v>44096</v>
      </c>
      <c r="G136" s="185">
        <v>13347</v>
      </c>
      <c r="H136" s="183" t="s">
        <v>1342</v>
      </c>
      <c r="I136" s="183" t="s">
        <v>1343</v>
      </c>
      <c r="J136" s="183" t="s">
        <v>1344</v>
      </c>
      <c r="K136" s="183" t="s">
        <v>1234</v>
      </c>
      <c r="L136" s="183" t="s">
        <v>1345</v>
      </c>
      <c r="N136" s="185">
        <f>+VLOOKUP(B136,dotpop24!$A$10:$L$178,11,)</f>
        <v>8566520.4299999997</v>
      </c>
      <c r="P136">
        <f>+VLOOKUP($B136,'SAE23'!$G$3:$L$181,4,0)</f>
        <v>136</v>
      </c>
      <c r="Q136">
        <f>+VLOOKUP($B136,basev2!$C$5:$Q$173,14,0)</f>
        <v>136</v>
      </c>
      <c r="R136">
        <f t="shared" ref="R136:R176" si="4">+P136-Q136</f>
        <v>0</v>
      </c>
      <c r="S136">
        <f>+VLOOKUP($B136,'SAE23'!$G$3:$L$181,6,0)</f>
        <v>40</v>
      </c>
      <c r="T136">
        <f>+VLOOKUP($B136,basev2!$C$5:$Q$173,15,0)</f>
        <v>40</v>
      </c>
      <c r="U136">
        <f t="shared" si="3"/>
        <v>0</v>
      </c>
    </row>
    <row r="137" spans="1:21">
      <c r="A137" s="183" t="s">
        <v>22</v>
      </c>
      <c r="B137" s="183">
        <v>650780174</v>
      </c>
      <c r="C137" s="183" t="s">
        <v>166</v>
      </c>
      <c r="D137" s="183" t="s">
        <v>25</v>
      </c>
      <c r="E137" s="185">
        <v>7077</v>
      </c>
      <c r="F137" s="185">
        <v>7077</v>
      </c>
      <c r="G137" s="183">
        <v>0</v>
      </c>
      <c r="H137" s="183" t="s">
        <v>1085</v>
      </c>
      <c r="I137" s="183" t="s">
        <v>1346</v>
      </c>
      <c r="J137" s="183" t="s">
        <v>1280</v>
      </c>
      <c r="K137" s="183" t="s">
        <v>1347</v>
      </c>
      <c r="L137" s="183" t="s">
        <v>1348</v>
      </c>
      <c r="N137" s="185">
        <f>+VLOOKUP(B137,dotpop24!$A$10:$L$178,11,)</f>
        <v>874047.55</v>
      </c>
      <c r="P137">
        <f>+VLOOKUP($B137,'SAE23'!$G$3:$L$181,4,0)</f>
        <v>20</v>
      </c>
      <c r="Q137">
        <f>+VLOOKUP($B137,basev2!$C$5:$Q$173,14,0)</f>
        <v>20</v>
      </c>
      <c r="R137">
        <f t="shared" si="4"/>
        <v>0</v>
      </c>
      <c r="S137">
        <f>+VLOOKUP($B137,'SAE23'!$G$3:$L$181,6,0)</f>
        <v>0</v>
      </c>
      <c r="T137">
        <f>+VLOOKUP($B137,basev2!$C$5:$Q$173,15,0)</f>
        <v>0</v>
      </c>
      <c r="U137">
        <f t="shared" si="3"/>
        <v>0</v>
      </c>
    </row>
    <row r="138" spans="1:21">
      <c r="A138" s="183" t="s">
        <v>22</v>
      </c>
      <c r="B138" s="183">
        <v>650780190</v>
      </c>
      <c r="C138" s="183" t="s">
        <v>167</v>
      </c>
      <c r="D138" s="183" t="s">
        <v>25</v>
      </c>
      <c r="E138" s="185">
        <v>28013</v>
      </c>
      <c r="F138" s="185">
        <v>28013</v>
      </c>
      <c r="G138" s="183">
        <v>0</v>
      </c>
      <c r="H138" s="183" t="s">
        <v>933</v>
      </c>
      <c r="I138" s="183" t="s">
        <v>1349</v>
      </c>
      <c r="J138" s="183" t="s">
        <v>1350</v>
      </c>
      <c r="K138" s="183" t="s">
        <v>1166</v>
      </c>
      <c r="L138" s="183" t="s">
        <v>1351</v>
      </c>
      <c r="N138" s="185">
        <f>+VLOOKUP(B138,dotpop24!$A$10:$L$178,11,)</f>
        <v>3136051.91</v>
      </c>
      <c r="P138">
        <f>+VLOOKUP($B138,'SAE23'!$G$3:$L$181,4,0)</f>
        <v>88</v>
      </c>
      <c r="Q138">
        <f>+VLOOKUP($B138,basev2!$C$5:$Q$173,14,0)</f>
        <v>88</v>
      </c>
      <c r="R138">
        <f t="shared" si="4"/>
        <v>0</v>
      </c>
      <c r="S138">
        <f>+VLOOKUP($B138,'SAE23'!$G$3:$L$181,6,0)</f>
        <v>0</v>
      </c>
      <c r="T138">
        <f>+VLOOKUP($B138,basev2!$C$5:$Q$173,15,0)</f>
        <v>0</v>
      </c>
      <c r="U138">
        <f t="shared" si="3"/>
        <v>0</v>
      </c>
    </row>
    <row r="139" spans="1:21">
      <c r="A139" s="183" t="s">
        <v>33</v>
      </c>
      <c r="B139" s="183">
        <v>650780398</v>
      </c>
      <c r="C139" s="183" t="s">
        <v>168</v>
      </c>
      <c r="D139" s="183" t="s">
        <v>25</v>
      </c>
      <c r="E139" s="185">
        <v>28442</v>
      </c>
      <c r="F139" s="185">
        <v>26105</v>
      </c>
      <c r="G139" s="185">
        <v>2337</v>
      </c>
      <c r="H139" s="183" t="s">
        <v>845</v>
      </c>
      <c r="I139" s="183" t="s">
        <v>1352</v>
      </c>
      <c r="J139" s="183" t="s">
        <v>935</v>
      </c>
      <c r="K139" s="183" t="s">
        <v>1353</v>
      </c>
      <c r="L139" s="183" t="s">
        <v>1019</v>
      </c>
      <c r="N139" s="185">
        <f>+VLOOKUP(B139,dotpop24!$A$10:$L$178,11,)</f>
        <v>3878352.3</v>
      </c>
      <c r="P139">
        <f>+VLOOKUP($B139,'SAE23'!$D$3:$L$181,7,0)</f>
        <v>96</v>
      </c>
      <c r="Q139">
        <f>+VLOOKUP($B139,basev2!$C$5:$Q$173,14,0)</f>
        <v>96</v>
      </c>
      <c r="R139">
        <f t="shared" si="4"/>
        <v>0</v>
      </c>
      <c r="S139">
        <f>+VLOOKUP($B139,'SAE23'!$D$3:$L$181,9,0)</f>
        <v>6</v>
      </c>
      <c r="T139">
        <f>+VLOOKUP($B139,basev2!$C$5:$Q$173,15,0)</f>
        <v>6</v>
      </c>
      <c r="U139">
        <f t="shared" si="3"/>
        <v>0</v>
      </c>
    </row>
    <row r="140" spans="1:21">
      <c r="A140" s="183" t="s">
        <v>30</v>
      </c>
      <c r="B140" s="183">
        <v>650780679</v>
      </c>
      <c r="C140" s="183" t="s">
        <v>169</v>
      </c>
      <c r="D140" s="183" t="s">
        <v>25</v>
      </c>
      <c r="E140" s="185">
        <v>5645</v>
      </c>
      <c r="F140" s="183">
        <v>0</v>
      </c>
      <c r="G140" s="185">
        <v>5645</v>
      </c>
      <c r="H140" s="183" t="s">
        <v>1354</v>
      </c>
      <c r="I140" s="183" t="s">
        <v>1355</v>
      </c>
      <c r="J140" s="183" t="s">
        <v>1356</v>
      </c>
      <c r="K140" s="183" t="s">
        <v>859</v>
      </c>
      <c r="L140" s="183" t="s">
        <v>1357</v>
      </c>
      <c r="N140" s="185">
        <f>+VLOOKUP(B140,dotpop24!$A$10:$L$178,11,)</f>
        <v>238524</v>
      </c>
      <c r="P140" t="str">
        <f>+VLOOKUP($B140,'SAE23'!$D$3:$L$181,7,0)</f>
        <v/>
      </c>
      <c r="Q140">
        <f>+VLOOKUP($B140,basev2!$C$5:$Q$173,14,0)</f>
        <v>0</v>
      </c>
      <c r="S140">
        <f>+VLOOKUP($B140,'SAE23'!$D$3:$L$181,9,0)</f>
        <v>30</v>
      </c>
      <c r="T140">
        <f>+VLOOKUP($B140,basev2!$C$5:$Q$173,15,0)</f>
        <v>30</v>
      </c>
      <c r="U140">
        <f t="shared" ref="U140:U177" si="5">+S140-T140</f>
        <v>0</v>
      </c>
    </row>
    <row r="141" spans="1:21">
      <c r="A141" s="183" t="s">
        <v>22</v>
      </c>
      <c r="B141" s="183">
        <v>650783160</v>
      </c>
      <c r="C141" s="183" t="s">
        <v>170</v>
      </c>
      <c r="D141" s="183" t="s">
        <v>25</v>
      </c>
      <c r="E141" s="185">
        <v>43546</v>
      </c>
      <c r="F141" s="185">
        <v>43546</v>
      </c>
      <c r="G141" s="183">
        <v>0</v>
      </c>
      <c r="H141" s="183" t="s">
        <v>792</v>
      </c>
      <c r="I141" s="183" t="s">
        <v>1358</v>
      </c>
      <c r="J141" s="183" t="s">
        <v>1359</v>
      </c>
      <c r="K141" s="183" t="s">
        <v>1360</v>
      </c>
      <c r="L141" s="183" t="s">
        <v>909</v>
      </c>
      <c r="N141" s="185">
        <f>+VLOOKUP(B141,dotpop24!$A$10:$L$178,11,)</f>
        <v>5043749.0599999996</v>
      </c>
      <c r="P141">
        <v>133</v>
      </c>
      <c r="Q141">
        <f>+VLOOKUP($B141,basev2!$C$5:$Q$173,14,0)</f>
        <v>133</v>
      </c>
      <c r="R141">
        <f t="shared" si="4"/>
        <v>0</v>
      </c>
      <c r="S141">
        <f>+VLOOKUP($B141,'SAE23'!$G$3:$L$181,6,0)</f>
        <v>0</v>
      </c>
      <c r="T141">
        <f>+VLOOKUP($B141,basev2!$C$5:$Q$173,15,0)</f>
        <v>0</v>
      </c>
      <c r="U141">
        <f t="shared" si="5"/>
        <v>0</v>
      </c>
    </row>
    <row r="142" spans="1:21">
      <c r="A142" s="183" t="s">
        <v>30</v>
      </c>
      <c r="B142" s="183">
        <v>660005166</v>
      </c>
      <c r="C142" s="183" t="s">
        <v>171</v>
      </c>
      <c r="D142" s="183" t="s">
        <v>25</v>
      </c>
      <c r="E142" s="185">
        <v>20557</v>
      </c>
      <c r="F142" s="185">
        <v>19938</v>
      </c>
      <c r="G142" s="183">
        <v>619</v>
      </c>
      <c r="H142" s="183" t="s">
        <v>1361</v>
      </c>
      <c r="I142" s="183" t="s">
        <v>1362</v>
      </c>
      <c r="J142" s="183" t="s">
        <v>1363</v>
      </c>
      <c r="K142" s="183" t="s">
        <v>1364</v>
      </c>
      <c r="L142" s="183" t="s">
        <v>1365</v>
      </c>
      <c r="N142" s="185">
        <f>+VLOOKUP(B142,dotpop24!$A$10:$L$178,11,)</f>
        <v>2098884.4900000002</v>
      </c>
      <c r="P142">
        <f>+VLOOKUP($B142,'SAE23'!$D$3:$L$181,7,0)</f>
        <v>60</v>
      </c>
      <c r="Q142">
        <f>+VLOOKUP($B142,basev2!$C$5:$Q$173,14,0)</f>
        <v>60</v>
      </c>
      <c r="R142">
        <f t="shared" si="4"/>
        <v>0</v>
      </c>
      <c r="S142">
        <f>+VLOOKUP($B142,'SAE23'!$D$3:$L$181,9,0)</f>
        <v>20</v>
      </c>
      <c r="T142">
        <f>+VLOOKUP($B142,basev2!$C$5:$Q$173,15,0)</f>
        <v>20</v>
      </c>
      <c r="U142">
        <f t="shared" si="5"/>
        <v>0</v>
      </c>
    </row>
    <row r="143" spans="1:21">
      <c r="A143" s="183" t="s">
        <v>33</v>
      </c>
      <c r="B143" s="183">
        <v>660009689</v>
      </c>
      <c r="C143" s="183" t="s">
        <v>172</v>
      </c>
      <c r="D143" s="183" t="s">
        <v>25</v>
      </c>
      <c r="E143" s="185">
        <v>13572</v>
      </c>
      <c r="F143" s="185">
        <v>12768</v>
      </c>
      <c r="G143" s="183">
        <v>804</v>
      </c>
      <c r="H143" s="183" t="s">
        <v>1204</v>
      </c>
      <c r="I143" s="183" t="s">
        <v>1366</v>
      </c>
      <c r="J143" s="183" t="s">
        <v>1367</v>
      </c>
      <c r="K143" s="183" t="s">
        <v>1368</v>
      </c>
      <c r="L143" s="183" t="s">
        <v>1121</v>
      </c>
      <c r="N143" s="185">
        <f>+VLOOKUP(B143,dotpop24!$A$10:$L$178,11,)</f>
        <v>3441770.93</v>
      </c>
      <c r="P143">
        <f>+VLOOKUP($B143,'SAE23'!$D$3:$L$181,7,0)</f>
        <v>57</v>
      </c>
      <c r="Q143">
        <f>+VLOOKUP($B143,basev2!$C$5:$Q$173,14,0)</f>
        <v>57</v>
      </c>
      <c r="R143">
        <f t="shared" si="4"/>
        <v>0</v>
      </c>
      <c r="S143">
        <f>+VLOOKUP($B143,'SAE23'!$D$3:$L$181,9,0)</f>
        <v>10</v>
      </c>
      <c r="T143">
        <f>+VLOOKUP($B143,basev2!$C$5:$Q$173,15,0)</f>
        <v>10</v>
      </c>
      <c r="U143">
        <f t="shared" si="5"/>
        <v>0</v>
      </c>
    </row>
    <row r="144" spans="1:21">
      <c r="A144" s="183" t="s">
        <v>33</v>
      </c>
      <c r="B144" s="183">
        <v>660010174</v>
      </c>
      <c r="C144" s="183" t="s">
        <v>173</v>
      </c>
      <c r="D144" s="183" t="s">
        <v>25</v>
      </c>
      <c r="E144" s="185">
        <v>67159</v>
      </c>
      <c r="F144" s="185">
        <v>52887</v>
      </c>
      <c r="G144" s="185">
        <v>14272</v>
      </c>
      <c r="H144" s="183" t="s">
        <v>1369</v>
      </c>
      <c r="I144" s="183" t="s">
        <v>1370</v>
      </c>
      <c r="J144" s="183" t="s">
        <v>1371</v>
      </c>
      <c r="K144" s="183" t="s">
        <v>1372</v>
      </c>
      <c r="L144" s="183" t="s">
        <v>859</v>
      </c>
      <c r="N144" s="185">
        <f>+VLOOKUP(B144,dotpop24!$A$10:$L$178,11,)</f>
        <v>6774027.3099999996</v>
      </c>
      <c r="P144">
        <f>+VLOOKUP($B144,'SAE23'!$D$3:$L$181,7,0)</f>
        <v>170</v>
      </c>
      <c r="Q144">
        <f>+VLOOKUP($B144,basev2!$C$5:$Q$173,14,0)</f>
        <v>170</v>
      </c>
      <c r="R144">
        <f t="shared" si="4"/>
        <v>0</v>
      </c>
      <c r="S144">
        <f>+VLOOKUP($B144,'SAE23'!$D$3:$L$181,9,0)</f>
        <v>45</v>
      </c>
      <c r="T144">
        <f>+VLOOKUP($B144,basev2!$C$5:$Q$173,15,0)</f>
        <v>45</v>
      </c>
      <c r="U144">
        <f t="shared" si="5"/>
        <v>0</v>
      </c>
    </row>
    <row r="145" spans="1:21">
      <c r="A145" s="183" t="s">
        <v>33</v>
      </c>
      <c r="B145" s="183">
        <v>660013087</v>
      </c>
      <c r="C145" s="193" t="s">
        <v>175</v>
      </c>
      <c r="D145" s="183" t="s">
        <v>25</v>
      </c>
      <c r="E145" s="185">
        <v>5326</v>
      </c>
      <c r="F145" s="185">
        <v>5326</v>
      </c>
      <c r="G145" s="183">
        <v>0</v>
      </c>
      <c r="H145" s="183" t="s">
        <v>1376</v>
      </c>
      <c r="I145" s="183" t="s">
        <v>1377</v>
      </c>
      <c r="J145" s="183" t="s">
        <v>1378</v>
      </c>
      <c r="K145" s="183" t="s">
        <v>1379</v>
      </c>
      <c r="L145" s="183" t="s">
        <v>1125</v>
      </c>
      <c r="N145" s="185">
        <f>+VLOOKUP(B145,dotpop24!$A$10:$L$178,11,)</f>
        <v>1042358.52</v>
      </c>
      <c r="P145" s="199"/>
      <c r="Q145" s="199">
        <f>+VLOOKUP($B145,basev2!$C$5:$Q$173,14,0)</f>
        <v>20</v>
      </c>
      <c r="R145" s="199"/>
      <c r="S145" s="199"/>
      <c r="T145" s="199">
        <f>+VLOOKUP($B145,basev2!$C$5:$Q$173,15,0)</f>
        <v>0</v>
      </c>
      <c r="U145" s="199">
        <f t="shared" si="5"/>
        <v>0</v>
      </c>
    </row>
    <row r="146" spans="1:21">
      <c r="A146" s="183" t="s">
        <v>22</v>
      </c>
      <c r="B146" s="183">
        <v>660780271</v>
      </c>
      <c r="C146" s="194" t="s">
        <v>179</v>
      </c>
      <c r="D146" s="183" t="s">
        <v>25</v>
      </c>
      <c r="E146" s="185">
        <v>1795</v>
      </c>
      <c r="F146" s="185">
        <v>1795</v>
      </c>
      <c r="G146" s="183">
        <v>0</v>
      </c>
      <c r="H146" s="183" t="s">
        <v>1390</v>
      </c>
      <c r="I146" s="183" t="s">
        <v>1391</v>
      </c>
      <c r="J146" s="183" t="s">
        <v>1392</v>
      </c>
      <c r="K146" s="183" t="s">
        <v>1393</v>
      </c>
      <c r="L146" s="183" t="s">
        <v>1394</v>
      </c>
      <c r="N146" s="185"/>
      <c r="P146" s="199">
        <f>+VLOOKUP($B146,'SAE23'!$G$3:$L$181,4,0)</f>
        <v>20</v>
      </c>
      <c r="Q146" s="199"/>
      <c r="R146" s="199"/>
      <c r="S146" s="199">
        <f>+VLOOKUP($B146,'SAE23'!$G$3:$L$181,6,0)</f>
        <v>0</v>
      </c>
      <c r="T146" s="199"/>
      <c r="U146" s="199">
        <f t="shared" si="5"/>
        <v>0</v>
      </c>
    </row>
    <row r="147" spans="1:21">
      <c r="A147" s="183" t="s">
        <v>30</v>
      </c>
      <c r="B147" s="183">
        <v>660780099</v>
      </c>
      <c r="C147" s="183" t="s">
        <v>176</v>
      </c>
      <c r="D147" s="183" t="s">
        <v>25</v>
      </c>
      <c r="E147" s="185">
        <v>13679</v>
      </c>
      <c r="F147" s="185">
        <v>13679</v>
      </c>
      <c r="G147" s="183">
        <v>0</v>
      </c>
      <c r="H147" s="183" t="s">
        <v>1380</v>
      </c>
      <c r="I147" s="183" t="s">
        <v>1381</v>
      </c>
      <c r="J147" s="183" t="s">
        <v>1382</v>
      </c>
      <c r="K147" s="183" t="s">
        <v>1383</v>
      </c>
      <c r="L147" s="183" t="s">
        <v>1287</v>
      </c>
      <c r="N147" s="185">
        <f>+VLOOKUP(B147,dotpop24!$A$10:$L$178,11,)</f>
        <v>1253209.33</v>
      </c>
      <c r="P147">
        <f>+VLOOKUP($B147,'SAE23'!$D$3:$L$181,7,0)</f>
        <v>53</v>
      </c>
      <c r="Q147">
        <f>+VLOOKUP($B147,basev2!$C$5:$Q$173,14,0)</f>
        <v>53</v>
      </c>
      <c r="R147">
        <f t="shared" si="4"/>
        <v>0</v>
      </c>
      <c r="S147">
        <f>+VLOOKUP($B147,'SAE23'!$D$3:$L$181,9,0)</f>
        <v>0</v>
      </c>
      <c r="T147">
        <f>+VLOOKUP($B147,basev2!$C$5:$Q$173,15,0)</f>
        <v>0</v>
      </c>
      <c r="U147">
        <f t="shared" si="5"/>
        <v>0</v>
      </c>
    </row>
    <row r="148" spans="1:21">
      <c r="A148" s="183" t="s">
        <v>33</v>
      </c>
      <c r="B148" s="183">
        <v>660780156</v>
      </c>
      <c r="C148" s="183" t="s">
        <v>177</v>
      </c>
      <c r="D148" s="183" t="s">
        <v>25</v>
      </c>
      <c r="E148" s="185">
        <v>30342</v>
      </c>
      <c r="F148" s="185">
        <v>30342</v>
      </c>
      <c r="G148" s="183">
        <v>0</v>
      </c>
      <c r="H148" s="183" t="s">
        <v>1384</v>
      </c>
      <c r="I148" s="183" t="s">
        <v>827</v>
      </c>
      <c r="J148" s="183" t="s">
        <v>1371</v>
      </c>
      <c r="K148" s="183" t="s">
        <v>1244</v>
      </c>
      <c r="L148" s="183" t="s">
        <v>1385</v>
      </c>
      <c r="N148" s="185">
        <f>+VLOOKUP(B148,dotpop24!$A$10:$L$178,11,)</f>
        <v>3119054.29</v>
      </c>
      <c r="P148">
        <f>+VLOOKUP($B148,'SAE23'!$D$3:$L$181,7,0)</f>
        <v>96</v>
      </c>
      <c r="Q148">
        <f>+VLOOKUP($B148,basev2!$C$5:$Q$173,14,0)</f>
        <v>96</v>
      </c>
      <c r="R148">
        <f t="shared" si="4"/>
        <v>0</v>
      </c>
      <c r="S148">
        <f>+VLOOKUP($B148,'SAE23'!$D$3:$L$181,9,0)</f>
        <v>0</v>
      </c>
      <c r="T148">
        <f>+VLOOKUP($B148,basev2!$C$5:$Q$173,15,0)</f>
        <v>0</v>
      </c>
      <c r="U148">
        <f t="shared" si="5"/>
        <v>0</v>
      </c>
    </row>
    <row r="149" spans="1:21">
      <c r="A149" s="183" t="s">
        <v>22</v>
      </c>
      <c r="B149" s="183">
        <v>660780180</v>
      </c>
      <c r="C149" s="183" t="s">
        <v>178</v>
      </c>
      <c r="D149" s="183" t="s">
        <v>25</v>
      </c>
      <c r="E149" s="185">
        <v>18462</v>
      </c>
      <c r="F149" s="185">
        <v>18462</v>
      </c>
      <c r="G149" s="183">
        <v>0</v>
      </c>
      <c r="H149" s="183" t="s">
        <v>1386</v>
      </c>
      <c r="I149" s="183" t="s">
        <v>1387</v>
      </c>
      <c r="J149" s="183" t="s">
        <v>1388</v>
      </c>
      <c r="K149" s="183" t="s">
        <v>1389</v>
      </c>
      <c r="L149" s="183" t="s">
        <v>1176</v>
      </c>
      <c r="N149" s="185">
        <f>+VLOOKUP(B149,dotpop24!$A$10:$L$178,11,)</f>
        <v>2382975.2400000002</v>
      </c>
      <c r="P149">
        <f>+VLOOKUP($B149,'SAE23'!$G$3:$L$181,4,0)</f>
        <v>38</v>
      </c>
      <c r="Q149">
        <f>+VLOOKUP($B149,basev2!$C$5:$Q$173,14,0)</f>
        <v>38</v>
      </c>
      <c r="R149">
        <f t="shared" si="4"/>
        <v>0</v>
      </c>
      <c r="S149">
        <f>+VLOOKUP($B149,'SAE23'!$G$3:$L$181,6,0)</f>
        <v>0</v>
      </c>
      <c r="T149">
        <f>+VLOOKUP($B149,basev2!$C$5:$Q$173,15,0)</f>
        <v>0</v>
      </c>
      <c r="U149">
        <f t="shared" si="5"/>
        <v>0</v>
      </c>
    </row>
    <row r="150" spans="1:21">
      <c r="A150" s="183" t="s">
        <v>30</v>
      </c>
      <c r="B150" s="183">
        <v>660780347</v>
      </c>
      <c r="C150" s="183" t="s">
        <v>181</v>
      </c>
      <c r="D150" s="183" t="s">
        <v>25</v>
      </c>
      <c r="E150" s="185">
        <v>41172</v>
      </c>
      <c r="F150" s="185">
        <v>39949</v>
      </c>
      <c r="G150" s="185">
        <v>1223</v>
      </c>
      <c r="H150" s="183" t="s">
        <v>1397</v>
      </c>
      <c r="I150" s="183" t="s">
        <v>1398</v>
      </c>
      <c r="J150" s="183" t="s">
        <v>848</v>
      </c>
      <c r="K150" s="183" t="s">
        <v>1334</v>
      </c>
      <c r="L150" s="183" t="s">
        <v>1047</v>
      </c>
      <c r="N150" s="185">
        <f>+VLOOKUP(B150,dotpop24!$A$10:$L$178,11,)</f>
        <v>3221551.77</v>
      </c>
      <c r="P150">
        <f>+VLOOKUP($B150,'SAE23'!$D$3:$L$181,7,0)</f>
        <v>118</v>
      </c>
      <c r="Q150">
        <f>+VLOOKUP($B150,basev2!$C$5:$Q$173,14,0)</f>
        <v>118</v>
      </c>
      <c r="R150">
        <f t="shared" si="4"/>
        <v>0</v>
      </c>
      <c r="S150">
        <f>+VLOOKUP($B150,'SAE23'!$D$3:$L$181,9,0)</f>
        <v>5</v>
      </c>
      <c r="T150">
        <f>+VLOOKUP($B150,basev2!$C$5:$Q$173,15,0)</f>
        <v>5</v>
      </c>
      <c r="U150">
        <f t="shared" si="5"/>
        <v>0</v>
      </c>
    </row>
    <row r="151" spans="1:21">
      <c r="A151" s="183" t="s">
        <v>30</v>
      </c>
      <c r="B151" s="183">
        <v>660780636</v>
      </c>
      <c r="C151" s="183" t="s">
        <v>182</v>
      </c>
      <c r="D151" s="183" t="s">
        <v>25</v>
      </c>
      <c r="E151" s="185">
        <v>45489</v>
      </c>
      <c r="F151" s="185">
        <v>45489</v>
      </c>
      <c r="G151" s="183">
        <v>0</v>
      </c>
      <c r="H151" s="183" t="s">
        <v>1399</v>
      </c>
      <c r="I151" s="183" t="s">
        <v>1400</v>
      </c>
      <c r="J151" s="183" t="s">
        <v>1401</v>
      </c>
      <c r="K151" s="183" t="s">
        <v>1402</v>
      </c>
      <c r="L151" s="183" t="s">
        <v>1215</v>
      </c>
      <c r="N151" s="185">
        <f>+VLOOKUP(B151,dotpop24!$A$10:$L$178,11,)</f>
        <v>4208609.8899999997</v>
      </c>
      <c r="P151">
        <f>+VLOOKUP($B151,'SAE23'!$D$3:$L$181,7,0)</f>
        <v>152</v>
      </c>
      <c r="Q151">
        <f>+VLOOKUP($B151,basev2!$C$5:$Q$173,14,0)</f>
        <v>152</v>
      </c>
      <c r="R151">
        <f t="shared" si="4"/>
        <v>0</v>
      </c>
      <c r="S151">
        <f>+VLOOKUP($B151,'SAE23'!$D$3:$L$181,9,0)</f>
        <v>0</v>
      </c>
      <c r="T151">
        <f>+VLOOKUP($B151,basev2!$C$5:$Q$173,15,0)</f>
        <v>0</v>
      </c>
      <c r="U151">
        <f t="shared" si="5"/>
        <v>0</v>
      </c>
    </row>
    <row r="152" spans="1:21">
      <c r="A152" s="183" t="s">
        <v>30</v>
      </c>
      <c r="B152" s="183">
        <v>660780743</v>
      </c>
      <c r="C152" s="183" t="s">
        <v>183</v>
      </c>
      <c r="D152" s="183" t="s">
        <v>25</v>
      </c>
      <c r="E152" s="185">
        <v>65433</v>
      </c>
      <c r="F152" s="185">
        <v>51719</v>
      </c>
      <c r="G152" s="185">
        <v>13714</v>
      </c>
      <c r="H152" s="183" t="s">
        <v>1403</v>
      </c>
      <c r="I152" s="183" t="s">
        <v>1404</v>
      </c>
      <c r="J152" s="183" t="s">
        <v>814</v>
      </c>
      <c r="K152" s="183" t="s">
        <v>964</v>
      </c>
      <c r="L152" s="183" t="s">
        <v>815</v>
      </c>
      <c r="N152" s="185">
        <f>+VLOOKUP(B152,dotpop24!$A$10:$L$178,11,)</f>
        <v>4781238.17</v>
      </c>
      <c r="P152">
        <f>+VLOOKUP($B152,'SAE23'!$D$3:$L$181,7,0)</f>
        <v>144</v>
      </c>
      <c r="Q152">
        <f>+VLOOKUP($B152,basev2!$C$5:$Q$173,14,0)</f>
        <v>144</v>
      </c>
      <c r="R152">
        <f t="shared" si="4"/>
        <v>0</v>
      </c>
      <c r="S152">
        <f>+VLOOKUP($B152,'SAE23'!$D$3:$L$181,9,0)</f>
        <v>75</v>
      </c>
      <c r="T152">
        <f>+VLOOKUP($B152,basev2!$C$5:$Q$173,15,0)</f>
        <v>75</v>
      </c>
      <c r="U152">
        <f t="shared" si="5"/>
        <v>0</v>
      </c>
    </row>
    <row r="153" spans="1:21">
      <c r="A153" s="183" t="s">
        <v>30</v>
      </c>
      <c r="B153" s="183">
        <v>660780800</v>
      </c>
      <c r="C153" s="183" t="s">
        <v>184</v>
      </c>
      <c r="D153" s="183" t="s">
        <v>25</v>
      </c>
      <c r="E153" s="185">
        <v>19251</v>
      </c>
      <c r="F153" s="185">
        <v>19251</v>
      </c>
      <c r="G153" s="183">
        <v>0</v>
      </c>
      <c r="H153" s="183" t="s">
        <v>1405</v>
      </c>
      <c r="I153" s="183" t="s">
        <v>1355</v>
      </c>
      <c r="J153" s="183" t="s">
        <v>1406</v>
      </c>
      <c r="K153" s="183" t="s">
        <v>1255</v>
      </c>
      <c r="L153" s="183" t="s">
        <v>1018</v>
      </c>
      <c r="N153" s="185">
        <f>+VLOOKUP(B153,dotpop24!$A$10:$L$178,11,)</f>
        <v>1870781.07</v>
      </c>
      <c r="P153">
        <f>+VLOOKUP($B153,'SAE23'!$D$3:$L$181,7,0)</f>
        <v>83</v>
      </c>
      <c r="Q153">
        <f>+VLOOKUP($B153,basev2!$C$5:$Q$173,14,0)</f>
        <v>83</v>
      </c>
      <c r="R153">
        <f t="shared" si="4"/>
        <v>0</v>
      </c>
      <c r="S153">
        <f>+VLOOKUP($B153,'SAE23'!$D$3:$L$181,9,0)</f>
        <v>0</v>
      </c>
      <c r="T153">
        <f>+VLOOKUP($B153,basev2!$C$5:$Q$173,15,0)</f>
        <v>0</v>
      </c>
      <c r="U153">
        <f t="shared" si="5"/>
        <v>0</v>
      </c>
    </row>
    <row r="154" spans="1:21">
      <c r="A154" s="183" t="s">
        <v>30</v>
      </c>
      <c r="B154" s="183">
        <v>660780842</v>
      </c>
      <c r="C154" s="183" t="s">
        <v>185</v>
      </c>
      <c r="D154" s="183" t="s">
        <v>25</v>
      </c>
      <c r="E154" s="185">
        <v>22204</v>
      </c>
      <c r="F154" s="185">
        <v>22204</v>
      </c>
      <c r="G154" s="183">
        <v>0</v>
      </c>
      <c r="H154" s="183" t="s">
        <v>1407</v>
      </c>
      <c r="I154" s="183" t="s">
        <v>1408</v>
      </c>
      <c r="J154" s="183" t="s">
        <v>1356</v>
      </c>
      <c r="K154" s="183" t="s">
        <v>1409</v>
      </c>
      <c r="L154" s="183" t="s">
        <v>1286</v>
      </c>
      <c r="N154" s="185">
        <f>+VLOOKUP(B154,dotpop24!$A$10:$L$178,11,)</f>
        <v>1793464</v>
      </c>
      <c r="P154">
        <f>+VLOOKUP($B154,'SAE23'!$D$3:$L$181,7,0)</f>
        <v>68</v>
      </c>
      <c r="Q154">
        <f>+VLOOKUP($B154,basev2!$C$5:$Q$173,14,0)</f>
        <v>68</v>
      </c>
      <c r="R154">
        <f t="shared" si="4"/>
        <v>0</v>
      </c>
      <c r="S154">
        <f>+VLOOKUP($B154,'SAE23'!$D$3:$L$181,9,0)</f>
        <v>0</v>
      </c>
      <c r="T154">
        <f>+VLOOKUP($B154,basev2!$C$5:$Q$173,15,0)</f>
        <v>0</v>
      </c>
      <c r="U154">
        <f t="shared" si="5"/>
        <v>0</v>
      </c>
    </row>
    <row r="155" spans="1:21">
      <c r="A155" s="183" t="s">
        <v>30</v>
      </c>
      <c r="B155" s="183">
        <v>660781097</v>
      </c>
      <c r="C155" s="183" t="s">
        <v>186</v>
      </c>
      <c r="D155" s="183" t="s">
        <v>25</v>
      </c>
      <c r="E155" s="185">
        <v>13721</v>
      </c>
      <c r="F155" s="185">
        <v>13721</v>
      </c>
      <c r="G155" s="183">
        <v>0</v>
      </c>
      <c r="H155" s="183" t="s">
        <v>1085</v>
      </c>
      <c r="I155" s="183" t="s">
        <v>1410</v>
      </c>
      <c r="J155" s="183" t="s">
        <v>1087</v>
      </c>
      <c r="K155" s="183" t="s">
        <v>926</v>
      </c>
      <c r="L155" s="183" t="s">
        <v>1117</v>
      </c>
      <c r="N155" s="185">
        <f>+VLOOKUP(B155,dotpop24!$A$10:$L$178,11,)</f>
        <v>1091206.98</v>
      </c>
      <c r="P155">
        <f>+VLOOKUP($B155,'SAE23'!$D$3:$L$181,7,0)</f>
        <v>42</v>
      </c>
      <c r="Q155">
        <f>+VLOOKUP($B155,basev2!$C$5:$Q$173,14,0)</f>
        <v>42</v>
      </c>
      <c r="R155">
        <f t="shared" si="4"/>
        <v>0</v>
      </c>
      <c r="S155">
        <f>+VLOOKUP($B155,'SAE23'!$D$3:$L$181,9,0)</f>
        <v>0</v>
      </c>
      <c r="T155">
        <f>+VLOOKUP($B155,basev2!$C$5:$Q$173,15,0)</f>
        <v>0</v>
      </c>
      <c r="U155">
        <f t="shared" si="5"/>
        <v>0</v>
      </c>
    </row>
    <row r="156" spans="1:21">
      <c r="A156" s="183" t="s">
        <v>30</v>
      </c>
      <c r="B156" s="183">
        <v>660781287</v>
      </c>
      <c r="C156" s="183" t="s">
        <v>187</v>
      </c>
      <c r="D156" s="183" t="s">
        <v>25</v>
      </c>
      <c r="E156" s="185">
        <v>54686</v>
      </c>
      <c r="F156" s="185">
        <v>40113</v>
      </c>
      <c r="G156" s="185">
        <v>14573</v>
      </c>
      <c r="H156" s="183" t="s">
        <v>1411</v>
      </c>
      <c r="I156" s="183" t="s">
        <v>1412</v>
      </c>
      <c r="J156" s="183" t="s">
        <v>1413</v>
      </c>
      <c r="K156" s="183" t="s">
        <v>1353</v>
      </c>
      <c r="L156" s="183" t="s">
        <v>1414</v>
      </c>
      <c r="N156" s="185">
        <f>+VLOOKUP(B156,dotpop24!$A$10:$L$178,11,)</f>
        <v>4545897.3</v>
      </c>
      <c r="P156">
        <f>+VLOOKUP($B156,'SAE23'!$D$3:$L$181,7,0)</f>
        <v>120</v>
      </c>
      <c r="Q156">
        <f>+VLOOKUP($B156,basev2!$C$5:$Q$173,14,0)</f>
        <v>120</v>
      </c>
      <c r="R156">
        <f t="shared" si="4"/>
        <v>0</v>
      </c>
      <c r="S156">
        <f>+VLOOKUP($B156,'SAE23'!$D$3:$L$181,9,0)</f>
        <v>105</v>
      </c>
      <c r="T156">
        <f>+VLOOKUP($B156,basev2!$C$5:$Q$173,15,0)</f>
        <v>105</v>
      </c>
      <c r="U156">
        <f t="shared" si="5"/>
        <v>0</v>
      </c>
    </row>
    <row r="157" spans="1:21">
      <c r="A157" s="183" t="s">
        <v>30</v>
      </c>
      <c r="B157" s="183">
        <v>660790163</v>
      </c>
      <c r="C157" s="183" t="s">
        <v>188</v>
      </c>
      <c r="D157" s="183" t="s">
        <v>25</v>
      </c>
      <c r="E157" s="185">
        <v>77727</v>
      </c>
      <c r="F157" s="185">
        <v>63738</v>
      </c>
      <c r="G157" s="185">
        <v>13989</v>
      </c>
      <c r="H157" s="183" t="s">
        <v>960</v>
      </c>
      <c r="I157" s="183" t="s">
        <v>1415</v>
      </c>
      <c r="J157" s="183" t="s">
        <v>1416</v>
      </c>
      <c r="K157" s="183" t="s">
        <v>963</v>
      </c>
      <c r="L157" s="183" t="s">
        <v>1042</v>
      </c>
      <c r="N157" s="185">
        <f>+VLOOKUP(B157,dotpop24!$A$10:$L$178,11,)</f>
        <v>6503389.04</v>
      </c>
      <c r="P157">
        <f>+VLOOKUP($B157,'SAE23'!$D$3:$L$181,7,0)</f>
        <v>185</v>
      </c>
      <c r="Q157">
        <f>+VLOOKUP($B157,basev2!$C$5:$Q$173,14,0)</f>
        <v>185</v>
      </c>
      <c r="R157">
        <f t="shared" si="4"/>
        <v>0</v>
      </c>
      <c r="S157">
        <f>+VLOOKUP($B157,'SAE23'!$D$3:$L$181,9,0)</f>
        <v>20</v>
      </c>
      <c r="T157">
        <f>+VLOOKUP($B157,basev2!$C$5:$Q$173,15,0)</f>
        <v>20</v>
      </c>
      <c r="U157">
        <f t="shared" si="5"/>
        <v>0</v>
      </c>
    </row>
    <row r="158" spans="1:21">
      <c r="A158" s="183" t="s">
        <v>33</v>
      </c>
      <c r="B158" s="183">
        <v>810000158</v>
      </c>
      <c r="C158" s="183" t="s">
        <v>189</v>
      </c>
      <c r="D158" s="183" t="s">
        <v>25</v>
      </c>
      <c r="E158" s="185">
        <v>10280</v>
      </c>
      <c r="F158" s="185">
        <v>10280</v>
      </c>
      <c r="G158" s="183">
        <v>0</v>
      </c>
      <c r="H158" s="183" t="s">
        <v>1417</v>
      </c>
      <c r="I158" s="183" t="s">
        <v>1418</v>
      </c>
      <c r="J158" s="183" t="s">
        <v>908</v>
      </c>
      <c r="K158" s="183" t="s">
        <v>1419</v>
      </c>
      <c r="L158" s="183" t="s">
        <v>1109</v>
      </c>
      <c r="N158" s="185">
        <f>+VLOOKUP(B158,dotpop24!$A$10:$L$178,11,)</f>
        <v>1206001.53</v>
      </c>
      <c r="P158">
        <f>+VLOOKUP($B158,'SAE23'!$D$3:$L$181,7,0)</f>
        <v>30</v>
      </c>
      <c r="Q158">
        <f>+VLOOKUP($B158,basev2!$C$5:$Q$173,14,0)</f>
        <v>30</v>
      </c>
      <c r="R158">
        <f t="shared" si="4"/>
        <v>0</v>
      </c>
      <c r="S158">
        <f>+VLOOKUP($B158,'SAE23'!$D$3:$L$181,9,0)</f>
        <v>0</v>
      </c>
      <c r="T158">
        <f>+VLOOKUP($B158,basev2!$C$5:$Q$173,15,0)</f>
        <v>0</v>
      </c>
      <c r="U158">
        <f t="shared" si="5"/>
        <v>0</v>
      </c>
    </row>
    <row r="159" spans="1:21" ht="30">
      <c r="A159" s="183" t="s">
        <v>33</v>
      </c>
      <c r="B159" s="183">
        <v>810000232</v>
      </c>
      <c r="C159" s="183" t="s">
        <v>190</v>
      </c>
      <c r="D159" s="183" t="s">
        <v>25</v>
      </c>
      <c r="E159" s="185">
        <v>42347</v>
      </c>
      <c r="F159" s="185">
        <v>34626</v>
      </c>
      <c r="G159" s="185">
        <v>7721</v>
      </c>
      <c r="H159" s="183" t="s">
        <v>1420</v>
      </c>
      <c r="I159" s="183" t="s">
        <v>1421</v>
      </c>
      <c r="J159" s="183" t="s">
        <v>1422</v>
      </c>
      <c r="K159" s="183" t="s">
        <v>1423</v>
      </c>
      <c r="L159" s="183" t="s">
        <v>1225</v>
      </c>
      <c r="N159" s="185">
        <f>+VLOOKUP(B159,dotpop24!$A$10:$L$178,11,)</f>
        <v>4886348.83</v>
      </c>
      <c r="P159">
        <f>+VLOOKUP($B159,'SAE23'!$D$3:$L$181,7,0)</f>
        <v>104</v>
      </c>
      <c r="Q159">
        <f>+VLOOKUP($B159,basev2!$C$5:$Q$173,14,0)</f>
        <v>104</v>
      </c>
      <c r="R159">
        <f t="shared" si="4"/>
        <v>0</v>
      </c>
      <c r="S159">
        <f>+VLOOKUP($B159,'SAE23'!$D$3:$L$181,9,0)</f>
        <v>29</v>
      </c>
      <c r="T159">
        <f>+VLOOKUP($B159,basev2!$C$5:$Q$173,15,0)</f>
        <v>29</v>
      </c>
      <c r="U159">
        <f t="shared" si="5"/>
        <v>0</v>
      </c>
    </row>
    <row r="160" spans="1:21">
      <c r="A160" s="183" t="s">
        <v>22</v>
      </c>
      <c r="B160" s="183">
        <v>810000349</v>
      </c>
      <c r="C160" s="183" t="s">
        <v>191</v>
      </c>
      <c r="D160" s="183" t="s">
        <v>25</v>
      </c>
      <c r="E160" s="185">
        <v>10137</v>
      </c>
      <c r="F160" s="185">
        <v>9159</v>
      </c>
      <c r="G160" s="183">
        <v>978</v>
      </c>
      <c r="H160" s="183" t="s">
        <v>1424</v>
      </c>
      <c r="I160" s="183" t="s">
        <v>1425</v>
      </c>
      <c r="J160" s="183" t="s">
        <v>1426</v>
      </c>
      <c r="K160" s="183" t="s">
        <v>1427</v>
      </c>
      <c r="L160" s="183" t="s">
        <v>1031</v>
      </c>
      <c r="N160" s="185">
        <f>+VLOOKUP(B160,dotpop24!$A$10:$L$178,11,)</f>
        <v>1456450.3</v>
      </c>
      <c r="P160">
        <f>+VLOOKUP($B160,'SAE23'!$G$3:$L$181,4,0)</f>
        <v>27</v>
      </c>
      <c r="Q160">
        <f>+VLOOKUP($B160,basev2!$C$5:$Q$173,14,0)</f>
        <v>27</v>
      </c>
      <c r="R160">
        <f t="shared" si="4"/>
        <v>0</v>
      </c>
      <c r="S160">
        <f>+VLOOKUP($B160,'SAE23'!$G$3:$L$181,6,0)</f>
        <v>4</v>
      </c>
      <c r="T160">
        <f>+VLOOKUP($B160,basev2!$C$5:$Q$173,15,0)</f>
        <v>4</v>
      </c>
      <c r="U160">
        <f t="shared" si="5"/>
        <v>0</v>
      </c>
    </row>
    <row r="161" spans="1:21">
      <c r="A161" s="183" t="s">
        <v>22</v>
      </c>
      <c r="B161" s="183">
        <v>810000380</v>
      </c>
      <c r="C161" s="183" t="s">
        <v>192</v>
      </c>
      <c r="D161" s="183" t="s">
        <v>25</v>
      </c>
      <c r="E161" s="185">
        <v>30544</v>
      </c>
      <c r="F161" s="185">
        <v>30278</v>
      </c>
      <c r="G161" s="183">
        <v>266</v>
      </c>
      <c r="H161" s="183" t="s">
        <v>1122</v>
      </c>
      <c r="I161" s="183" t="s">
        <v>1428</v>
      </c>
      <c r="J161" s="183" t="s">
        <v>1429</v>
      </c>
      <c r="K161" s="183" t="s">
        <v>1430</v>
      </c>
      <c r="L161" s="183" t="s">
        <v>1431</v>
      </c>
      <c r="N161" s="185">
        <f>+VLOOKUP(B161,dotpop24!$A$10:$L$178,11,)</f>
        <v>4556695.26</v>
      </c>
      <c r="P161">
        <f>78+38</f>
        <v>116</v>
      </c>
      <c r="Q161">
        <f>+VLOOKUP($B161,basev2!$C$5:$Q$173,14,0)</f>
        <v>116</v>
      </c>
      <c r="R161">
        <f t="shared" si="4"/>
        <v>0</v>
      </c>
      <c r="S161">
        <f>2+5</f>
        <v>7</v>
      </c>
      <c r="T161">
        <f>+VLOOKUP($B161,basev2!$C$5:$Q$173,15,0)</f>
        <v>7</v>
      </c>
      <c r="U161">
        <f t="shared" si="5"/>
        <v>0</v>
      </c>
    </row>
    <row r="162" spans="1:21">
      <c r="A162" s="183" t="s">
        <v>22</v>
      </c>
      <c r="B162" s="183">
        <v>810000398</v>
      </c>
      <c r="C162" s="183" t="s">
        <v>193</v>
      </c>
      <c r="D162" s="183" t="s">
        <v>25</v>
      </c>
      <c r="E162" s="185">
        <v>3985</v>
      </c>
      <c r="F162" s="185">
        <v>3985</v>
      </c>
      <c r="G162" s="183">
        <v>0</v>
      </c>
      <c r="H162" s="183" t="s">
        <v>938</v>
      </c>
      <c r="I162" s="183" t="s">
        <v>1432</v>
      </c>
      <c r="J162" s="183" t="s">
        <v>1433</v>
      </c>
      <c r="K162" s="183" t="s">
        <v>1434</v>
      </c>
      <c r="L162" s="183" t="s">
        <v>867</v>
      </c>
      <c r="N162" s="185">
        <f>+VLOOKUP(B162,dotpop24!$A$10:$L$178,11,)</f>
        <v>601672.11</v>
      </c>
      <c r="P162">
        <f>+VLOOKUP($B162,'SAE23'!$G$3:$L$181,4,0)</f>
        <v>20</v>
      </c>
      <c r="Q162">
        <f>+VLOOKUP($B162,basev2!$C$5:$Q$173,14,0)</f>
        <v>20</v>
      </c>
      <c r="R162">
        <f t="shared" si="4"/>
        <v>0</v>
      </c>
      <c r="S162">
        <f>+VLOOKUP($B162,'SAE23'!$G$3:$L$181,6,0)</f>
        <v>0</v>
      </c>
      <c r="T162">
        <f>+VLOOKUP($B162,basev2!$C$5:$Q$173,15,0)</f>
        <v>0</v>
      </c>
      <c r="U162">
        <f t="shared" si="5"/>
        <v>0</v>
      </c>
    </row>
    <row r="163" spans="1:21">
      <c r="A163" s="183" t="s">
        <v>33</v>
      </c>
      <c r="B163" s="183">
        <v>810000448</v>
      </c>
      <c r="C163" s="183" t="s">
        <v>194</v>
      </c>
      <c r="D163" s="183" t="s">
        <v>25</v>
      </c>
      <c r="E163" s="185">
        <v>10463</v>
      </c>
      <c r="F163" s="185">
        <v>8764</v>
      </c>
      <c r="G163" s="185">
        <v>1699</v>
      </c>
      <c r="H163" s="183" t="s">
        <v>1435</v>
      </c>
      <c r="I163" s="183" t="s">
        <v>1436</v>
      </c>
      <c r="J163" s="183" t="s">
        <v>1437</v>
      </c>
      <c r="K163" s="183" t="s">
        <v>1438</v>
      </c>
      <c r="L163" s="183" t="s">
        <v>1439</v>
      </c>
      <c r="N163" s="185">
        <f>+VLOOKUP(B163,dotpop24!$A$10:$L$178,11,)</f>
        <v>2088946.94</v>
      </c>
      <c r="P163">
        <f>+VLOOKUP($B163,'SAE23'!$D$3:$L$181,7,0)</f>
        <v>30</v>
      </c>
      <c r="Q163">
        <f>+VLOOKUP($B163,basev2!$C$5:$Q$173,14,0)</f>
        <v>30</v>
      </c>
      <c r="R163">
        <f t="shared" si="4"/>
        <v>0</v>
      </c>
      <c r="S163">
        <f>+VLOOKUP($B163,'SAE23'!$D$3:$L$181,9,0)</f>
        <v>5</v>
      </c>
      <c r="T163">
        <f>+VLOOKUP($B163,basev2!$C$5:$Q$173,15,0)</f>
        <v>5</v>
      </c>
      <c r="U163">
        <f t="shared" si="5"/>
        <v>0</v>
      </c>
    </row>
    <row r="164" spans="1:21">
      <c r="A164" s="183" t="s">
        <v>22</v>
      </c>
      <c r="B164" s="183">
        <v>810000455</v>
      </c>
      <c r="C164" s="183" t="s">
        <v>195</v>
      </c>
      <c r="D164" s="183" t="s">
        <v>25</v>
      </c>
      <c r="E164" s="185">
        <v>20793</v>
      </c>
      <c r="F164" s="185">
        <v>17469</v>
      </c>
      <c r="G164" s="185">
        <v>3324</v>
      </c>
      <c r="H164" s="183" t="s">
        <v>1386</v>
      </c>
      <c r="I164" s="183" t="s">
        <v>1440</v>
      </c>
      <c r="J164" s="183" t="s">
        <v>1441</v>
      </c>
      <c r="K164" s="183" t="s">
        <v>899</v>
      </c>
      <c r="L164" s="183" t="s">
        <v>1442</v>
      </c>
      <c r="N164" s="185">
        <f>+VLOOKUP(B164,dotpop24!$A$10:$L$178,11,)</f>
        <v>2783102.7</v>
      </c>
      <c r="P164">
        <f>+VLOOKUP($B164,'SAE23'!$G$3:$L$181,4,0)</f>
        <v>60</v>
      </c>
      <c r="Q164">
        <f>+VLOOKUP($B164,basev2!$C$5:$Q$173,14,0)</f>
        <v>60</v>
      </c>
      <c r="R164">
        <f t="shared" si="4"/>
        <v>0</v>
      </c>
      <c r="S164">
        <f>+VLOOKUP($B164,'SAE23'!$G$3:$L$181,6,0)</f>
        <v>5</v>
      </c>
      <c r="T164">
        <f>+VLOOKUP($B164,basev2!$C$5:$Q$173,15,0)</f>
        <v>5</v>
      </c>
      <c r="U164">
        <f t="shared" si="5"/>
        <v>0</v>
      </c>
    </row>
    <row r="165" spans="1:21">
      <c r="A165" s="200" t="s">
        <v>33</v>
      </c>
      <c r="B165" s="200">
        <v>810002022</v>
      </c>
      <c r="C165" s="200" t="s">
        <v>196</v>
      </c>
      <c r="D165" s="200" t="s">
        <v>25</v>
      </c>
      <c r="E165" s="201">
        <v>2233</v>
      </c>
      <c r="F165" s="200">
        <v>0</v>
      </c>
      <c r="G165" s="201">
        <v>2233</v>
      </c>
      <c r="H165" s="183" t="s">
        <v>1443</v>
      </c>
      <c r="I165" s="183" t="s">
        <v>1444</v>
      </c>
      <c r="J165" s="183" t="s">
        <v>949</v>
      </c>
      <c r="K165" s="183" t="s">
        <v>1445</v>
      </c>
      <c r="L165" s="183" t="s">
        <v>866</v>
      </c>
      <c r="N165" s="185">
        <f>+VLOOKUP(B165,dotpop24!$A$10:$L$178,11,)</f>
        <v>215669</v>
      </c>
      <c r="P165" s="80"/>
      <c r="Q165" s="202">
        <f>+VLOOKUP($B165,basev2!$C$5:$Q$173,14,0)</f>
        <v>0</v>
      </c>
      <c r="S165" s="80"/>
      <c r="T165" s="202">
        <f>+VLOOKUP($B165,basev2!$C$5:$Q$173,15,0)</f>
        <v>10</v>
      </c>
      <c r="U165" s="202">
        <f t="shared" si="5"/>
        <v>-10</v>
      </c>
    </row>
    <row r="166" spans="1:21">
      <c r="A166" s="183" t="s">
        <v>33</v>
      </c>
      <c r="B166" s="183">
        <v>810003954</v>
      </c>
      <c r="C166" s="183" t="s">
        <v>197</v>
      </c>
      <c r="D166" s="183" t="s">
        <v>25</v>
      </c>
      <c r="E166" s="185">
        <v>23313</v>
      </c>
      <c r="F166" s="185">
        <v>23313</v>
      </c>
      <c r="G166" s="183">
        <v>0</v>
      </c>
      <c r="H166" s="183" t="s">
        <v>1064</v>
      </c>
      <c r="I166" s="183" t="s">
        <v>1446</v>
      </c>
      <c r="J166" s="183" t="s">
        <v>1447</v>
      </c>
      <c r="K166" s="183" t="s">
        <v>1448</v>
      </c>
      <c r="L166" s="183" t="s">
        <v>875</v>
      </c>
      <c r="N166" s="185">
        <f>+VLOOKUP(B166,dotpop24!$A$10:$L$178,11,)</f>
        <v>2785307.59</v>
      </c>
      <c r="P166">
        <f>+VLOOKUP($B166,'SAE23'!$D$3:$L$181,7,0)</f>
        <v>72</v>
      </c>
      <c r="Q166">
        <f>+VLOOKUP($B166,basev2!$C$5:$Q$173,14,0)</f>
        <v>72</v>
      </c>
      <c r="R166">
        <f t="shared" si="4"/>
        <v>0</v>
      </c>
      <c r="S166">
        <f>+VLOOKUP($B166,'SAE23'!$D$3:$L$181,9,0)</f>
        <v>0</v>
      </c>
      <c r="T166">
        <f>+VLOOKUP($B166,basev2!$C$5:$Q$173,15,0)</f>
        <v>0</v>
      </c>
      <c r="U166">
        <f t="shared" si="5"/>
        <v>0</v>
      </c>
    </row>
    <row r="167" spans="1:21">
      <c r="A167" s="183" t="s">
        <v>30</v>
      </c>
      <c r="B167" s="183">
        <v>810004200</v>
      </c>
      <c r="C167" s="183" t="s">
        <v>198</v>
      </c>
      <c r="D167" s="183" t="s">
        <v>25</v>
      </c>
      <c r="E167" s="185">
        <v>24537</v>
      </c>
      <c r="F167" s="185">
        <v>24537</v>
      </c>
      <c r="G167" s="183">
        <v>0</v>
      </c>
      <c r="H167" s="183" t="s">
        <v>1449</v>
      </c>
      <c r="I167" s="183" t="s">
        <v>1450</v>
      </c>
      <c r="J167" s="183" t="s">
        <v>1451</v>
      </c>
      <c r="K167" s="183" t="s">
        <v>1452</v>
      </c>
      <c r="L167" s="183" t="s">
        <v>838</v>
      </c>
      <c r="N167" s="185">
        <f>+VLOOKUP(B167,dotpop24!$A$10:$L$178,11,)</f>
        <v>2155540</v>
      </c>
      <c r="P167">
        <f>+VLOOKUP($B167,'SAE23'!$D$3:$L$181,7,0)</f>
        <v>108</v>
      </c>
      <c r="Q167">
        <f>+VLOOKUP($B167,basev2!$C$5:$Q$173,14,0)</f>
        <v>108</v>
      </c>
      <c r="R167">
        <f t="shared" si="4"/>
        <v>0</v>
      </c>
      <c r="S167">
        <f>+VLOOKUP($B167,'SAE23'!$D$3:$L$181,9,0)</f>
        <v>0</v>
      </c>
      <c r="T167">
        <f>+VLOOKUP($B167,basev2!$C$5:$Q$173,15,0)</f>
        <v>0</v>
      </c>
      <c r="U167">
        <f t="shared" si="5"/>
        <v>0</v>
      </c>
    </row>
    <row r="168" spans="1:21">
      <c r="A168" s="183" t="s">
        <v>30</v>
      </c>
      <c r="B168" s="183">
        <v>810101170</v>
      </c>
      <c r="C168" s="183" t="s">
        <v>199</v>
      </c>
      <c r="D168" s="183" t="s">
        <v>25</v>
      </c>
      <c r="E168" s="185">
        <v>33544</v>
      </c>
      <c r="F168" s="185">
        <v>26845</v>
      </c>
      <c r="G168" s="185">
        <v>6699</v>
      </c>
      <c r="H168" s="183" t="s">
        <v>1453</v>
      </c>
      <c r="I168" s="183" t="s">
        <v>1454</v>
      </c>
      <c r="J168" s="183" t="s">
        <v>1455</v>
      </c>
      <c r="K168" s="183" t="s">
        <v>1027</v>
      </c>
      <c r="L168" s="183" t="s">
        <v>1456</v>
      </c>
      <c r="N168" s="185">
        <f>+VLOOKUP(B168,dotpop24!$A$10:$L$178,11,)</f>
        <v>2456866.59</v>
      </c>
      <c r="P168">
        <f>+VLOOKUP($B168,'SAE23'!$D$3:$L$181,7,0)</f>
        <v>84</v>
      </c>
      <c r="Q168">
        <f>+VLOOKUP($B168,basev2!$C$5:$Q$173,14,0)</f>
        <v>84</v>
      </c>
      <c r="R168">
        <f t="shared" si="4"/>
        <v>0</v>
      </c>
      <c r="S168">
        <f>+VLOOKUP($B168,'SAE23'!$D$3:$L$181,9,0)</f>
        <v>31</v>
      </c>
      <c r="T168">
        <f>+VLOOKUP($B168,basev2!$C$5:$Q$173,15,0)</f>
        <v>31</v>
      </c>
      <c r="U168">
        <f t="shared" si="5"/>
        <v>0</v>
      </c>
    </row>
    <row r="169" spans="1:21">
      <c r="A169" s="183" t="s">
        <v>22</v>
      </c>
      <c r="B169" s="183">
        <v>820000016</v>
      </c>
      <c r="C169" s="183" t="s">
        <v>200</v>
      </c>
      <c r="D169" s="183" t="s">
        <v>25</v>
      </c>
      <c r="E169" s="185">
        <v>18407</v>
      </c>
      <c r="F169" s="185">
        <v>13462</v>
      </c>
      <c r="G169" s="185">
        <v>4945</v>
      </c>
      <c r="H169" s="183" t="s">
        <v>1457</v>
      </c>
      <c r="I169" s="183" t="s">
        <v>1458</v>
      </c>
      <c r="J169" s="183" t="s">
        <v>1459</v>
      </c>
      <c r="K169" s="183" t="s">
        <v>1460</v>
      </c>
      <c r="L169" s="183" t="s">
        <v>1461</v>
      </c>
      <c r="N169" s="185">
        <f>+VLOOKUP(B169,dotpop24!$A$10:$L$178,11,)</f>
        <v>2454756.4700000002</v>
      </c>
      <c r="P169">
        <f>+VLOOKUP($B169,'SAE23'!$G$3:$L$181,4,0)</f>
        <v>50</v>
      </c>
      <c r="Q169">
        <f>+VLOOKUP($B169,basev2!$C$5:$Q$173,14,0)</f>
        <v>50</v>
      </c>
      <c r="R169">
        <f t="shared" si="4"/>
        <v>0</v>
      </c>
      <c r="S169">
        <f>+VLOOKUP($B169,'SAE23'!$G$3:$L$181,6,0)</f>
        <v>15</v>
      </c>
      <c r="T169">
        <f>+VLOOKUP($B169,basev2!$C$5:$Q$173,15,0)</f>
        <v>15</v>
      </c>
      <c r="U169">
        <f t="shared" si="5"/>
        <v>0</v>
      </c>
    </row>
    <row r="170" spans="1:21">
      <c r="A170" s="200" t="s">
        <v>30</v>
      </c>
      <c r="B170" s="200">
        <v>820000057</v>
      </c>
      <c r="C170" s="200" t="s">
        <v>201</v>
      </c>
      <c r="D170" s="183" t="s">
        <v>25</v>
      </c>
      <c r="E170" s="200">
        <v>492</v>
      </c>
      <c r="F170" s="200">
        <v>0</v>
      </c>
      <c r="G170" s="200">
        <v>492</v>
      </c>
      <c r="H170" s="183" t="s">
        <v>1462</v>
      </c>
      <c r="I170" s="183" t="s">
        <v>1463</v>
      </c>
      <c r="J170" s="183" t="s">
        <v>844</v>
      </c>
      <c r="K170" s="183" t="s">
        <v>1464</v>
      </c>
      <c r="L170" s="183" t="s">
        <v>1465</v>
      </c>
      <c r="N170" s="185">
        <f>+VLOOKUP(B170,dotpop24!$A$10:$L$178,11,)</f>
        <v>51095</v>
      </c>
      <c r="P170" s="80"/>
      <c r="Q170" s="202">
        <f>+VLOOKUP($B170,basev2!$C$5:$Q$173,14,0)</f>
        <v>0</v>
      </c>
      <c r="S170" s="80"/>
      <c r="T170" s="202">
        <f>+VLOOKUP($B170,basev2!$C$5:$Q$173,15,0)</f>
        <v>5</v>
      </c>
      <c r="U170" s="202">
        <f t="shared" si="5"/>
        <v>-5</v>
      </c>
    </row>
    <row r="171" spans="1:21">
      <c r="A171" s="183" t="s">
        <v>22</v>
      </c>
      <c r="B171" s="183">
        <v>820000206</v>
      </c>
      <c r="C171" s="183" t="s">
        <v>202</v>
      </c>
      <c r="D171" s="183" t="s">
        <v>25</v>
      </c>
      <c r="E171" s="185">
        <v>10668</v>
      </c>
      <c r="F171" s="185">
        <v>10668</v>
      </c>
      <c r="G171" s="183">
        <v>0</v>
      </c>
      <c r="H171" s="183" t="s">
        <v>1222</v>
      </c>
      <c r="I171" s="183" t="s">
        <v>1466</v>
      </c>
      <c r="J171" s="183" t="s">
        <v>1467</v>
      </c>
      <c r="K171" s="183" t="s">
        <v>1468</v>
      </c>
      <c r="L171" s="183" t="s">
        <v>1469</v>
      </c>
      <c r="N171" s="185">
        <f>+VLOOKUP(B171,dotpop24!$A$10:$L$178,11,)</f>
        <v>1244510.3</v>
      </c>
      <c r="P171">
        <f>+VLOOKUP($B171,'SAE23'!$G$3:$L$181,4,0)</f>
        <v>33</v>
      </c>
      <c r="Q171">
        <f>+VLOOKUP($B171,basev2!$C$5:$Q$173,14,0)</f>
        <v>33</v>
      </c>
      <c r="R171">
        <f t="shared" si="4"/>
        <v>0</v>
      </c>
      <c r="S171">
        <f>+VLOOKUP($B171,'SAE23'!$G$3:$L$181,6,0)</f>
        <v>0</v>
      </c>
      <c r="T171">
        <f>+VLOOKUP($B171,basev2!$C$5:$Q$173,15,0)</f>
        <v>0</v>
      </c>
      <c r="U171">
        <f t="shared" si="5"/>
        <v>0</v>
      </c>
    </row>
    <row r="172" spans="1:21">
      <c r="A172" s="183" t="s">
        <v>22</v>
      </c>
      <c r="B172" s="183">
        <v>820000248</v>
      </c>
      <c r="C172" s="183" t="s">
        <v>203</v>
      </c>
      <c r="D172" s="183" t="s">
        <v>25</v>
      </c>
      <c r="E172" s="185">
        <v>10563</v>
      </c>
      <c r="F172" s="185">
        <v>10563</v>
      </c>
      <c r="G172" s="183">
        <v>0</v>
      </c>
      <c r="H172" s="183" t="s">
        <v>1228</v>
      </c>
      <c r="I172" s="183" t="s">
        <v>1090</v>
      </c>
      <c r="J172" s="183" t="s">
        <v>1470</v>
      </c>
      <c r="K172" s="183" t="s">
        <v>1057</v>
      </c>
      <c r="L172" s="183" t="s">
        <v>1471</v>
      </c>
      <c r="N172" s="185">
        <f>+VLOOKUP(B172,dotpop24!$A$10:$L$178,11,)</f>
        <v>1467887.24</v>
      </c>
      <c r="P172">
        <f>+VLOOKUP($B172,'SAE23'!$G$3:$L$181,4,0)</f>
        <v>30</v>
      </c>
      <c r="Q172">
        <f>+VLOOKUP($B172,basev2!$C$5:$Q$173,14,0)</f>
        <v>30</v>
      </c>
      <c r="R172">
        <f t="shared" si="4"/>
        <v>0</v>
      </c>
      <c r="S172">
        <f>+VLOOKUP($B172,'SAE23'!$G$3:$L$181,6,0)</f>
        <v>0</v>
      </c>
      <c r="T172">
        <f>+VLOOKUP($B172,basev2!$C$5:$Q$173,15,0)</f>
        <v>0</v>
      </c>
      <c r="U172">
        <f t="shared" si="5"/>
        <v>0</v>
      </c>
    </row>
    <row r="173" spans="1:21">
      <c r="A173" s="183" t="s">
        <v>30</v>
      </c>
      <c r="B173" s="183">
        <v>820000412</v>
      </c>
      <c r="C173" s="183" t="s">
        <v>204</v>
      </c>
      <c r="D173" s="183" t="s">
        <v>25</v>
      </c>
      <c r="E173" s="185">
        <v>18639</v>
      </c>
      <c r="F173" s="185">
        <v>18639</v>
      </c>
      <c r="G173" s="183">
        <v>0</v>
      </c>
      <c r="H173" s="183" t="s">
        <v>1472</v>
      </c>
      <c r="I173" s="183" t="s">
        <v>1473</v>
      </c>
      <c r="J173" s="183" t="s">
        <v>1356</v>
      </c>
      <c r="K173" s="183" t="s">
        <v>1474</v>
      </c>
      <c r="L173" s="183" t="s">
        <v>1286</v>
      </c>
      <c r="N173" s="185">
        <f>+VLOOKUP(B173,dotpop24!$A$10:$L$178,11,)</f>
        <v>959564.55</v>
      </c>
      <c r="P173">
        <f>+VLOOKUP($B173,'SAE23'!$D$3:$L$181,7,0)</f>
        <v>60</v>
      </c>
      <c r="Q173">
        <f>+VLOOKUP($B173,basev2!$C$5:$Q$173,14,0)</f>
        <v>60</v>
      </c>
      <c r="R173">
        <f t="shared" si="4"/>
        <v>0</v>
      </c>
      <c r="S173">
        <f>+VLOOKUP($B173,'SAE23'!$D$3:$L$181,9,0)</f>
        <v>0</v>
      </c>
      <c r="T173">
        <f>+VLOOKUP($B173,basev2!$C$5:$Q$173,15,0)</f>
        <v>0</v>
      </c>
      <c r="U173">
        <f t="shared" si="5"/>
        <v>0</v>
      </c>
    </row>
    <row r="174" spans="1:21">
      <c r="A174" s="183" t="s">
        <v>30</v>
      </c>
      <c r="B174" s="183">
        <v>820002350</v>
      </c>
      <c r="C174" s="183" t="s">
        <v>205</v>
      </c>
      <c r="D174" s="183" t="s">
        <v>25</v>
      </c>
      <c r="E174" s="185">
        <v>26851</v>
      </c>
      <c r="F174" s="185">
        <v>26851</v>
      </c>
      <c r="G174" s="183">
        <v>0</v>
      </c>
      <c r="H174" s="183" t="s">
        <v>1475</v>
      </c>
      <c r="I174" s="183" t="s">
        <v>1476</v>
      </c>
      <c r="J174" s="183" t="s">
        <v>1477</v>
      </c>
      <c r="K174" s="183" t="s">
        <v>1478</v>
      </c>
      <c r="L174" s="183" t="s">
        <v>1479</v>
      </c>
      <c r="N174" s="185">
        <f>+VLOOKUP(B174,dotpop24!$A$10:$L$178,11,)</f>
        <v>2573894</v>
      </c>
      <c r="P174">
        <f>+VLOOKUP($B174,'SAE23'!$D$3:$L$181,7,0)</f>
        <v>92</v>
      </c>
      <c r="Q174">
        <f>+VLOOKUP($B174,basev2!$C$5:$Q$173,14,0)</f>
        <v>92</v>
      </c>
      <c r="R174">
        <f t="shared" si="4"/>
        <v>0</v>
      </c>
      <c r="S174">
        <f>+VLOOKUP($B174,'SAE23'!$D$3:$L$181,9,0)</f>
        <v>0</v>
      </c>
      <c r="T174">
        <f>+VLOOKUP($B174,basev2!$C$5:$Q$173,15,0)</f>
        <v>0</v>
      </c>
      <c r="U174">
        <f t="shared" si="5"/>
        <v>0</v>
      </c>
    </row>
    <row r="175" spans="1:21">
      <c r="A175" s="183" t="s">
        <v>30</v>
      </c>
      <c r="B175" s="183">
        <v>820003218</v>
      </c>
      <c r="C175" s="183" t="s">
        <v>206</v>
      </c>
      <c r="D175" s="183" t="s">
        <v>25</v>
      </c>
      <c r="E175" s="185">
        <v>50691</v>
      </c>
      <c r="F175" s="185">
        <v>47823</v>
      </c>
      <c r="G175" s="185">
        <v>2868</v>
      </c>
      <c r="H175" s="183" t="s">
        <v>1480</v>
      </c>
      <c r="I175" s="183" t="s">
        <v>1481</v>
      </c>
      <c r="J175" s="183" t="s">
        <v>1482</v>
      </c>
      <c r="K175" s="183" t="s">
        <v>1197</v>
      </c>
      <c r="L175" s="183" t="s">
        <v>895</v>
      </c>
      <c r="N175" s="185">
        <f>+VLOOKUP(B175,dotpop24!$A$10:$L$178,11,)</f>
        <v>2723992.43</v>
      </c>
      <c r="P175">
        <f>+VLOOKUP($B175,'SAE23'!$D$3:$L$181,7,0)</f>
        <v>140</v>
      </c>
      <c r="Q175">
        <f>+VLOOKUP($B175,basev2!$C$5:$Q$173,14,0)</f>
        <v>140</v>
      </c>
      <c r="R175">
        <f t="shared" si="4"/>
        <v>0</v>
      </c>
      <c r="S175">
        <f>+VLOOKUP($B175,'SAE23'!$D$3:$L$181,9,0)</f>
        <v>10</v>
      </c>
      <c r="T175">
        <f>+VLOOKUP($B175,basev2!$C$5:$Q$173,15,0)</f>
        <v>10</v>
      </c>
      <c r="U175">
        <f t="shared" si="5"/>
        <v>0</v>
      </c>
    </row>
    <row r="176" spans="1:21">
      <c r="A176" s="183" t="s">
        <v>22</v>
      </c>
      <c r="B176" s="183">
        <v>820004950</v>
      </c>
      <c r="C176" s="183" t="s">
        <v>207</v>
      </c>
      <c r="D176" s="183" t="s">
        <v>25</v>
      </c>
      <c r="E176" s="185">
        <v>11426</v>
      </c>
      <c r="F176" s="185">
        <v>11426</v>
      </c>
      <c r="G176" s="183">
        <v>0</v>
      </c>
      <c r="H176" s="183" t="s">
        <v>1399</v>
      </c>
      <c r="I176" s="183" t="s">
        <v>1483</v>
      </c>
      <c r="J176" s="183" t="s">
        <v>1484</v>
      </c>
      <c r="K176" s="183" t="s">
        <v>1485</v>
      </c>
      <c r="L176" s="183" t="s">
        <v>1109</v>
      </c>
      <c r="N176" s="185">
        <f>+VLOOKUP(B176,dotpop24!$A$10:$L$178,11,)</f>
        <v>1607251.74</v>
      </c>
      <c r="P176">
        <f>+VLOOKUP($B176,'SAE23'!$G$3:$L$181,4,0)</f>
        <v>36</v>
      </c>
      <c r="Q176">
        <f>+VLOOKUP($B176,basev2!$C$5:$Q$173,14,0)</f>
        <v>36</v>
      </c>
      <c r="R176">
        <f t="shared" si="4"/>
        <v>0</v>
      </c>
      <c r="S176">
        <f>+VLOOKUP($B176,'SAE23'!$G$3:$L$181,6,0)</f>
        <v>0</v>
      </c>
      <c r="T176">
        <f>+VLOOKUP($B176,basev2!$C$5:$Q$173,15,0)</f>
        <v>0</v>
      </c>
      <c r="U176">
        <f t="shared" si="5"/>
        <v>0</v>
      </c>
    </row>
    <row r="177" spans="1:22">
      <c r="A177" s="200" t="s">
        <v>30</v>
      </c>
      <c r="B177" s="200">
        <v>820010866</v>
      </c>
      <c r="C177" s="200" t="s">
        <v>208</v>
      </c>
      <c r="D177" s="200" t="s">
        <v>25</v>
      </c>
      <c r="E177" s="201">
        <v>5213</v>
      </c>
      <c r="F177" s="200">
        <v>0</v>
      </c>
      <c r="G177" s="201">
        <v>5213</v>
      </c>
      <c r="H177" s="183" t="s">
        <v>1486</v>
      </c>
      <c r="I177" s="183" t="s">
        <v>991</v>
      </c>
      <c r="J177" s="183" t="s">
        <v>844</v>
      </c>
      <c r="K177" s="183" t="s">
        <v>1298</v>
      </c>
      <c r="L177" s="183" t="s">
        <v>885</v>
      </c>
      <c r="N177" s="185">
        <f>+VLOOKUP(B177,dotpop24!$A$10:$L$178,11,)</f>
        <v>242944</v>
      </c>
      <c r="S177" s="211"/>
      <c r="T177" s="202">
        <f>+VLOOKUP($B177,basev2!$C$5:$Q$173,15,0)</f>
        <v>25</v>
      </c>
      <c r="U177" s="202">
        <f t="shared" si="5"/>
        <v>-25</v>
      </c>
    </row>
    <row r="179" spans="1:22">
      <c r="D179" s="178" t="s">
        <v>302</v>
      </c>
      <c r="E179" s="205">
        <f>+SUM(E11:E177)</f>
        <v>3789404</v>
      </c>
      <c r="F179" s="29">
        <f>+SUM(F11:F177)</f>
        <v>3267681</v>
      </c>
      <c r="G179" s="29">
        <f>+SUM(G11:G177)</f>
        <v>505399</v>
      </c>
      <c r="N179" s="29">
        <f>+SUM(N11:N177)</f>
        <v>386305499.40000015</v>
      </c>
      <c r="P179" s="29">
        <f>+SUM(P11:P177)</f>
        <v>10628</v>
      </c>
      <c r="Q179" s="29">
        <f>+SUM(Q11:Q177)</f>
        <v>10636</v>
      </c>
      <c r="S179" s="29">
        <f>+SUM(S11:S177)</f>
        <v>1770</v>
      </c>
      <c r="T179" s="29">
        <f>+SUM(T11:T177)</f>
        <v>1821</v>
      </c>
      <c r="U179" s="29">
        <f>+SUM(U11:U177)</f>
        <v>-51</v>
      </c>
      <c r="V179" s="29"/>
    </row>
    <row r="180" spans="1:22">
      <c r="D180" s="178"/>
      <c r="E180" s="205"/>
      <c r="F180" s="29"/>
      <c r="G180" s="29"/>
      <c r="N180" s="29"/>
      <c r="O180" s="207" t="s">
        <v>1506</v>
      </c>
      <c r="P180" s="29">
        <f>+'SAE23'!J183</f>
        <v>10656</v>
      </c>
      <c r="Q180" s="29"/>
      <c r="S180" s="29">
        <f>+'SAE23'!L183</f>
        <v>1764</v>
      </c>
      <c r="T180" s="29"/>
      <c r="U180" s="29"/>
    </row>
    <row r="181" spans="1:22">
      <c r="D181" s="178"/>
      <c r="E181" s="29"/>
      <c r="F181" s="29"/>
      <c r="G181" s="29"/>
      <c r="N181" s="29"/>
      <c r="O181" s="209" t="s">
        <v>1520</v>
      </c>
      <c r="P181" s="29">
        <f>+P180-P179-6</f>
        <v>22</v>
      </c>
      <c r="S181" s="29">
        <f>+S180-S179-6</f>
        <v>-12</v>
      </c>
    </row>
    <row r="182" spans="1:22">
      <c r="D182" s="178"/>
      <c r="E182" s="29"/>
      <c r="F182" s="29"/>
      <c r="G182" s="29"/>
      <c r="N182" s="29"/>
    </row>
    <row r="183" spans="1:22">
      <c r="A183" s="183" t="s">
        <v>33</v>
      </c>
      <c r="B183" s="183">
        <v>310781422</v>
      </c>
      <c r="C183" s="183" t="s">
        <v>91</v>
      </c>
      <c r="D183" s="183" t="s">
        <v>25</v>
      </c>
      <c r="E183" s="185">
        <v>20084</v>
      </c>
      <c r="F183" s="185">
        <v>9819</v>
      </c>
      <c r="G183" s="185">
        <v>10265</v>
      </c>
      <c r="H183" s="183" t="s">
        <v>1059</v>
      </c>
      <c r="I183" s="183" t="s">
        <v>1060</v>
      </c>
      <c r="J183" s="183" t="s">
        <v>1061</v>
      </c>
      <c r="K183" s="183" t="s">
        <v>1062</v>
      </c>
      <c r="L183" s="183" t="s">
        <v>1063</v>
      </c>
      <c r="N183" s="185">
        <f>+VLOOKUP(B183,dotpop24!$A$10:$L$178,11,)</f>
        <v>117916.73</v>
      </c>
      <c r="P183" s="203">
        <v>60</v>
      </c>
      <c r="Q183">
        <f>+VLOOKUP($B183,basev2!$C$5:$Q$173,14,0)</f>
        <v>60</v>
      </c>
      <c r="R183">
        <f>+P183-Q183</f>
        <v>0</v>
      </c>
      <c r="S183" s="18">
        <v>88</v>
      </c>
      <c r="T183">
        <f>+VLOOKUP($B183,basev2!$C$5:$Q$173,15,0)</f>
        <v>88</v>
      </c>
      <c r="U183">
        <f>+S183-T183</f>
        <v>0</v>
      </c>
    </row>
    <row r="184" spans="1:22">
      <c r="A184" s="183" t="s">
        <v>33</v>
      </c>
      <c r="B184" s="183">
        <v>310792874</v>
      </c>
      <c r="C184" s="183" t="s">
        <v>105</v>
      </c>
      <c r="D184" s="183" t="s">
        <v>25</v>
      </c>
      <c r="E184" s="185">
        <v>3152</v>
      </c>
      <c r="F184" s="185">
        <v>2306</v>
      </c>
      <c r="G184" s="183">
        <v>846</v>
      </c>
      <c r="H184" s="183" t="s">
        <v>1110</v>
      </c>
      <c r="I184" s="183" t="s">
        <v>1111</v>
      </c>
      <c r="J184" s="183" t="s">
        <v>1112</v>
      </c>
      <c r="K184" s="183" t="s">
        <v>504</v>
      </c>
      <c r="L184" s="183" t="s">
        <v>1113</v>
      </c>
      <c r="N184" s="185">
        <f>+VLOOKUP(B184,dotpop24!$A$10:$L$178,11,)</f>
        <v>12705.05</v>
      </c>
      <c r="P184" s="203">
        <v>10</v>
      </c>
      <c r="Q184">
        <f>+VLOOKUP($B184,basev2!$C$5:$Q$173,14,0)</f>
        <v>10</v>
      </c>
      <c r="R184">
        <f>+P184-Q184</f>
        <v>0</v>
      </c>
      <c r="S184" s="18">
        <v>5</v>
      </c>
      <c r="T184">
        <f>+VLOOKUP($B184,basev2!$C$5:$Q$173,15,0)</f>
        <v>5</v>
      </c>
      <c r="U184">
        <f>+S184-T184</f>
        <v>0</v>
      </c>
    </row>
    <row r="185" spans="1:22">
      <c r="A185" s="183" t="s">
        <v>33</v>
      </c>
      <c r="B185" s="183">
        <v>340000025</v>
      </c>
      <c r="C185" s="183" t="s">
        <v>116</v>
      </c>
      <c r="D185" s="183" t="s">
        <v>25</v>
      </c>
      <c r="E185" s="185">
        <v>33662</v>
      </c>
      <c r="F185" s="185">
        <v>11230</v>
      </c>
      <c r="G185" s="185">
        <v>22432</v>
      </c>
      <c r="H185" s="183" t="s">
        <v>1159</v>
      </c>
      <c r="I185" s="183" t="s">
        <v>1160</v>
      </c>
      <c r="J185" s="183" t="s">
        <v>1161</v>
      </c>
      <c r="K185" s="183" t="s">
        <v>1162</v>
      </c>
      <c r="L185" s="183" t="s">
        <v>1163</v>
      </c>
      <c r="N185" s="185">
        <f>+VLOOKUP(B185,dotpop24!$A$10:$L$178,11,)</f>
        <v>143284.70000000001</v>
      </c>
      <c r="P185" s="203">
        <v>90</v>
      </c>
      <c r="Q185">
        <f>+VLOOKUP($B185,basev2!$C$5:$Q$173,14,0)</f>
        <v>90</v>
      </c>
      <c r="R185">
        <f>+P185-Q185</f>
        <v>0</v>
      </c>
      <c r="S185" s="18">
        <v>60</v>
      </c>
      <c r="T185">
        <f>+VLOOKUP($B185,basev2!$C$5:$Q$173,15,0)</f>
        <v>60</v>
      </c>
      <c r="U185">
        <f>+S185-T185</f>
        <v>0</v>
      </c>
    </row>
    <row r="186" spans="1:22">
      <c r="A186" s="183" t="s">
        <v>33</v>
      </c>
      <c r="B186" s="183">
        <v>320780323</v>
      </c>
      <c r="C186" s="210" t="s">
        <v>1510</v>
      </c>
      <c r="D186" s="183" t="s">
        <v>25</v>
      </c>
      <c r="E186" s="185">
        <v>13576</v>
      </c>
      <c r="F186" s="185">
        <v>10276</v>
      </c>
      <c r="G186" s="185">
        <v>3300</v>
      </c>
      <c r="H186" s="183" t="s">
        <v>797</v>
      </c>
      <c r="I186" s="183" t="s">
        <v>1155</v>
      </c>
      <c r="J186" s="183" t="s">
        <v>1156</v>
      </c>
      <c r="K186" s="183" t="s">
        <v>1157</v>
      </c>
      <c r="L186" s="183" t="s">
        <v>1158</v>
      </c>
      <c r="N186" s="185">
        <f>+VLOOKUP(B186,dotpop24!$A$10:$L$178,11,)</f>
        <v>22704.39</v>
      </c>
      <c r="P186" s="203">
        <v>55</v>
      </c>
      <c r="Q186">
        <f>+VLOOKUP($B186,basev2!$C$5:$Q$173,14,0)</f>
        <v>55</v>
      </c>
      <c r="R186">
        <f>+P186-Q186</f>
        <v>0</v>
      </c>
      <c r="S186" s="18">
        <v>15</v>
      </c>
      <c r="T186">
        <f>+VLOOKUP($B186,basev2!$C$5:$Q$173,15,0)</f>
        <v>15</v>
      </c>
      <c r="U186">
        <f>+S186-T186</f>
        <v>0</v>
      </c>
    </row>
    <row r="187" spans="1:22">
      <c r="C187" s="210" t="s">
        <v>1511</v>
      </c>
      <c r="N187" s="29"/>
      <c r="P187" s="209" t="s">
        <v>1517</v>
      </c>
      <c r="Q187" s="209"/>
      <c r="R187" s="209"/>
      <c r="S187" s="209" t="s">
        <v>1518</v>
      </c>
    </row>
    <row r="188" spans="1:22">
      <c r="C188" s="210" t="s">
        <v>1513</v>
      </c>
      <c r="D188" s="178" t="s">
        <v>1501</v>
      </c>
      <c r="E188" s="205">
        <f>+SUM(E183:E186)</f>
        <v>70474</v>
      </c>
      <c r="F188" s="205">
        <f>+SUM(F183:F186)</f>
        <v>33631</v>
      </c>
      <c r="G188" s="205">
        <f>+SUM(G183:G186)</f>
        <v>36843</v>
      </c>
      <c r="N188" s="29"/>
      <c r="P188" s="18"/>
      <c r="Q188" s="18"/>
      <c r="R188" s="18"/>
      <c r="S188" s="18">
        <v>8</v>
      </c>
    </row>
    <row r="189" spans="1:22">
      <c r="C189" s="210" t="s">
        <v>1512</v>
      </c>
      <c r="D189" s="178" t="s">
        <v>1494</v>
      </c>
      <c r="E189" s="205">
        <f>+E188+E179</f>
        <v>3859878</v>
      </c>
      <c r="F189" s="205">
        <f>+F188+F179</f>
        <v>3301312</v>
      </c>
      <c r="G189" s="205">
        <f>+G188+G179</f>
        <v>542242</v>
      </c>
      <c r="P189" s="18">
        <v>8</v>
      </c>
      <c r="Q189" s="18"/>
      <c r="R189" s="18"/>
      <c r="S189" s="18">
        <v>10</v>
      </c>
    </row>
    <row r="191" spans="1:22">
      <c r="P191">
        <f>+SUM(P183:P186)</f>
        <v>215</v>
      </c>
      <c r="Q191">
        <f>+SUM(Q183:Q186)</f>
        <v>215</v>
      </c>
      <c r="S191">
        <f>+SUM(S183:S186)</f>
        <v>168</v>
      </c>
      <c r="T191">
        <f t="shared" ref="T191:U191" si="6">+SUM(T183:T186)</f>
        <v>168</v>
      </c>
      <c r="U191">
        <f t="shared" si="6"/>
        <v>0</v>
      </c>
    </row>
    <row r="192" spans="1:22">
      <c r="O192" s="207" t="s">
        <v>1506</v>
      </c>
      <c r="P192">
        <v>217</v>
      </c>
      <c r="S192" s="209">
        <v>184</v>
      </c>
    </row>
    <row r="193" spans="1:19">
      <c r="O193" s="209" t="s">
        <v>1521</v>
      </c>
      <c r="P193">
        <f>+P192-P191</f>
        <v>2</v>
      </c>
      <c r="S193">
        <f>+S192-S191</f>
        <v>16</v>
      </c>
    </row>
    <row r="195" spans="1:19">
      <c r="A195" s="183" t="s">
        <v>33</v>
      </c>
      <c r="B195" s="183">
        <v>310780481</v>
      </c>
      <c r="C195" s="191" t="s">
        <v>85</v>
      </c>
      <c r="D195" s="183" t="s">
        <v>25</v>
      </c>
      <c r="E195" s="185">
        <v>12286</v>
      </c>
      <c r="F195" s="185">
        <v>8611</v>
      </c>
      <c r="G195" s="185">
        <v>3675</v>
      </c>
      <c r="H195" s="183" t="s">
        <v>1035</v>
      </c>
      <c r="I195" s="183" t="s">
        <v>1036</v>
      </c>
      <c r="J195" s="183" t="s">
        <v>1037</v>
      </c>
      <c r="K195" s="183" t="s">
        <v>1038</v>
      </c>
      <c r="L195" s="183" t="s">
        <v>1039</v>
      </c>
      <c r="N195" s="185" t="e">
        <f>+VLOOKUP(B195,dotpop24!$A$10:$L$178,12,)</f>
        <v>#N/A</v>
      </c>
      <c r="P195">
        <v>60</v>
      </c>
    </row>
    <row r="196" spans="1:19">
      <c r="A196" s="183" t="s">
        <v>33</v>
      </c>
      <c r="B196" s="183">
        <v>660780321</v>
      </c>
      <c r="C196" s="191" t="s">
        <v>180</v>
      </c>
      <c r="D196" s="183" t="s">
        <v>25</v>
      </c>
      <c r="E196" s="185">
        <v>19184</v>
      </c>
      <c r="F196" s="185">
        <v>18774</v>
      </c>
      <c r="G196" s="183">
        <v>410</v>
      </c>
      <c r="H196" s="183" t="s">
        <v>1122</v>
      </c>
      <c r="I196" s="183" t="s">
        <v>1395</v>
      </c>
      <c r="J196" s="183" t="s">
        <v>852</v>
      </c>
      <c r="K196" s="183" t="s">
        <v>834</v>
      </c>
      <c r="L196" s="183" t="s">
        <v>1396</v>
      </c>
      <c r="N196" s="185" t="e">
        <f>+VLOOKUP(B196,dotpop24!$A$10:$L$178,12,)</f>
        <v>#N/A</v>
      </c>
    </row>
    <row r="197" spans="1:19">
      <c r="A197" s="183" t="s">
        <v>33</v>
      </c>
      <c r="B197" s="183">
        <v>660010422</v>
      </c>
      <c r="C197" s="191" t="s">
        <v>174</v>
      </c>
      <c r="D197" s="183" t="s">
        <v>25</v>
      </c>
      <c r="E197" s="185">
        <v>3328</v>
      </c>
      <c r="F197" s="183">
        <v>0</v>
      </c>
      <c r="G197" s="185">
        <v>3328</v>
      </c>
      <c r="H197" s="183" t="s">
        <v>1373</v>
      </c>
      <c r="I197" s="183" t="s">
        <v>1374</v>
      </c>
      <c r="J197" s="183" t="s">
        <v>1375</v>
      </c>
      <c r="K197" s="183" t="s">
        <v>1088</v>
      </c>
      <c r="L197" s="183" t="s">
        <v>1360</v>
      </c>
      <c r="N197" s="185" t="e">
        <f>+VLOOKUP(B197,dotpop24!$A$10:$L$178,12,)</f>
        <v>#N/A</v>
      </c>
    </row>
    <row r="198" spans="1:19">
      <c r="A198" s="183" t="s">
        <v>33</v>
      </c>
      <c r="B198" s="183">
        <v>480780543</v>
      </c>
      <c r="C198" s="191" t="s">
        <v>161</v>
      </c>
      <c r="D198" s="183" t="s">
        <v>25</v>
      </c>
      <c r="E198" s="185">
        <v>11592</v>
      </c>
      <c r="F198" s="185">
        <v>11592</v>
      </c>
      <c r="G198" s="183">
        <v>0</v>
      </c>
      <c r="H198" s="183" t="s">
        <v>1328</v>
      </c>
      <c r="I198" s="183" t="s">
        <v>1329</v>
      </c>
      <c r="J198" s="183" t="s">
        <v>1330</v>
      </c>
      <c r="K198" s="183" t="s">
        <v>1132</v>
      </c>
      <c r="L198" s="183" t="s">
        <v>886</v>
      </c>
      <c r="N198" s="185" t="e">
        <f>+VLOOKUP(B198,dotpop24!$A$10:$L$178,12,)</f>
        <v>#N/A</v>
      </c>
    </row>
    <row r="199" spans="1:19" ht="30">
      <c r="A199" s="183" t="s">
        <v>22</v>
      </c>
      <c r="B199" s="183">
        <v>650007222</v>
      </c>
      <c r="C199" s="191" t="s">
        <v>164</v>
      </c>
      <c r="D199" s="183" t="s">
        <v>25</v>
      </c>
      <c r="E199" s="185">
        <v>8531</v>
      </c>
      <c r="F199" s="185">
        <v>8531</v>
      </c>
      <c r="G199" s="183">
        <v>0</v>
      </c>
      <c r="H199" s="183" t="s">
        <v>840</v>
      </c>
      <c r="I199" s="183" t="s">
        <v>1339</v>
      </c>
      <c r="J199" s="183" t="s">
        <v>1340</v>
      </c>
      <c r="K199" s="183" t="s">
        <v>1027</v>
      </c>
      <c r="L199" s="183" t="s">
        <v>1341</v>
      </c>
      <c r="N199" s="185" t="e">
        <f>+VLOOKUP(B199,dotpop24!$A$10:$L$178,12,)</f>
        <v>#N/A</v>
      </c>
    </row>
    <row r="201" spans="1:19">
      <c r="D201" s="204" t="s">
        <v>308</v>
      </c>
      <c r="E201" s="205">
        <f>+SUM(E195:E199)</f>
        <v>54921</v>
      </c>
      <c r="F201" s="205">
        <f t="shared" ref="F201:G201" si="7">+SUM(F195:F199)</f>
        <v>47508</v>
      </c>
      <c r="G201" s="205">
        <f t="shared" si="7"/>
        <v>7413</v>
      </c>
    </row>
    <row r="202" spans="1:19" ht="16.149999999999999" customHeight="1"/>
    <row r="203" spans="1:19">
      <c r="D203" t="s">
        <v>228</v>
      </c>
      <c r="E203" s="29">
        <f>+E189+E201</f>
        <v>3914799</v>
      </c>
      <c r="F203" s="29">
        <f t="shared" ref="F203:G203" si="8">+F189+F201</f>
        <v>3348820</v>
      </c>
      <c r="G203" s="29">
        <f t="shared" si="8"/>
        <v>549655</v>
      </c>
      <c r="H203" s="29"/>
      <c r="I203" s="29"/>
      <c r="J203" s="29"/>
      <c r="K203" s="29"/>
      <c r="L203" s="29"/>
      <c r="M203" s="29">
        <f>+SUM(M11:M177)</f>
        <v>0</v>
      </c>
      <c r="N203" s="29">
        <f>+SUM(N11:N177)</f>
        <v>386305499.40000015</v>
      </c>
    </row>
    <row r="204" spans="1:19">
      <c r="E204" s="29"/>
      <c r="F204" s="29"/>
      <c r="G204" s="29"/>
    </row>
    <row r="205" spans="1:19">
      <c r="D205" s="209" t="s">
        <v>1502</v>
      </c>
      <c r="E205" s="29">
        <f>+E208-E203</f>
        <v>0</v>
      </c>
      <c r="F205" s="29">
        <f t="shared" ref="F205:G205" si="9">+F208-F203</f>
        <v>16320</v>
      </c>
      <c r="G205" s="29">
        <f t="shared" si="9"/>
        <v>4</v>
      </c>
      <c r="M205" s="209" t="s">
        <v>505</v>
      </c>
      <c r="N205" s="29">
        <f>+N179-dotpop24!K8</f>
        <v>-296610.86999994516</v>
      </c>
      <c r="S205" s="29">
        <f>+S180-S179-2</f>
        <v>-8</v>
      </c>
    </row>
    <row r="206" spans="1:19">
      <c r="F206" s="18" t="s">
        <v>1503</v>
      </c>
    </row>
    <row r="207" spans="1:19" ht="15.75" thickBot="1">
      <c r="F207" s="18"/>
      <c r="O207" t="s">
        <v>1527</v>
      </c>
      <c r="P207" s="29">
        <f>basev2!P179</f>
        <v>10851</v>
      </c>
      <c r="S207" s="29">
        <f>+basev2!Q174</f>
        <v>1989</v>
      </c>
    </row>
    <row r="208" spans="1:19" ht="27.75" thickBot="1">
      <c r="A208" s="186"/>
      <c r="B208" s="186"/>
      <c r="C208" s="186" t="s">
        <v>1514</v>
      </c>
      <c r="D208" s="213" t="s">
        <v>1515</v>
      </c>
      <c r="E208" s="187">
        <v>3914799</v>
      </c>
      <c r="F208" s="187">
        <v>3365140</v>
      </c>
      <c r="G208" s="187">
        <v>549659</v>
      </c>
      <c r="H208" s="186" t="s">
        <v>1487</v>
      </c>
      <c r="I208" s="186" t="s">
        <v>1488</v>
      </c>
      <c r="J208" s="186" t="s">
        <v>1317</v>
      </c>
      <c r="K208" s="186" t="s">
        <v>1489</v>
      </c>
      <c r="L208" s="186" t="s">
        <v>815</v>
      </c>
      <c r="O208" s="207" t="s">
        <v>1506</v>
      </c>
      <c r="P208" s="29">
        <f>+P180+P192</f>
        <v>10873</v>
      </c>
      <c r="Q208" s="29">
        <f>+Q180+Q192</f>
        <v>0</v>
      </c>
      <c r="S208" s="29">
        <f>+S180+S192</f>
        <v>1948</v>
      </c>
    </row>
    <row r="209" spans="3:19">
      <c r="O209" s="209" t="s">
        <v>1522</v>
      </c>
      <c r="P209" s="223">
        <f>+P208-P207</f>
        <v>22</v>
      </c>
      <c r="Q209" s="202" t="s">
        <v>1530</v>
      </c>
      <c r="S209" s="29">
        <f>+S208-S207</f>
        <v>-41</v>
      </c>
    </row>
    <row r="210" spans="3:19">
      <c r="E210" s="29"/>
      <c r="O210" s="221" t="s">
        <v>1528</v>
      </c>
      <c r="S210">
        <f>+T165+T170+T177</f>
        <v>40</v>
      </c>
    </row>
    <row r="211" spans="3:19">
      <c r="R211" s="222" t="s">
        <v>1529</v>
      </c>
      <c r="S211" s="223">
        <f>+S209+S210</f>
        <v>-1</v>
      </c>
    </row>
    <row r="212" spans="3:19">
      <c r="C212" s="212"/>
      <c r="F212" s="29">
        <v>3309923</v>
      </c>
      <c r="G212" s="29">
        <v>545917</v>
      </c>
    </row>
    <row r="213" spans="3:19">
      <c r="F213" s="29">
        <v>948916</v>
      </c>
      <c r="G213" s="29">
        <v>96141</v>
      </c>
    </row>
    <row r="214" spans="3:19">
      <c r="F214">
        <v>611900</v>
      </c>
      <c r="G214">
        <v>113624</v>
      </c>
    </row>
    <row r="215" spans="3:19">
      <c r="F215">
        <v>1749107</v>
      </c>
      <c r="G215">
        <v>336152</v>
      </c>
    </row>
  </sheetData>
  <autoFilter ref="A10:U177" xr:uid="{E164631C-8A89-4CA9-B8C1-08051F1C9273}"/>
  <mergeCells count="4">
    <mergeCell ref="S9:U9"/>
    <mergeCell ref="P8:U8"/>
    <mergeCell ref="D8:L8"/>
    <mergeCell ref="P9:R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2</vt:i4>
      </vt:variant>
    </vt:vector>
  </HeadingPairs>
  <TitlesOfParts>
    <vt:vector size="10" baseType="lpstr">
      <vt:lpstr>lisez-moi</vt:lpstr>
      <vt:lpstr>synthèse v2</vt:lpstr>
      <vt:lpstr>basev2</vt:lpstr>
      <vt:lpstr>enfants</vt:lpstr>
      <vt:lpstr>sans dotpédia</vt:lpstr>
      <vt:lpstr>SAE23</vt:lpstr>
      <vt:lpstr>dotpop24</vt:lpstr>
      <vt:lpstr>controle</vt:lpstr>
      <vt:lpstr>controle!IDX</vt:lpstr>
      <vt:lpstr>'synthèse v2'!Zone_d_impression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Mathis SEDIRA-LEMAIRE</dc:creator>
  <cp:lastModifiedBy>(FHP Occitanie) Mathis SEDIRA-LEMAIRE</cp:lastModifiedBy>
  <cp:lastPrinted>2025-07-11T10:43:51Z</cp:lastPrinted>
  <dcterms:created xsi:type="dcterms:W3CDTF">2025-06-19T14:51:31Z</dcterms:created>
  <dcterms:modified xsi:type="dcterms:W3CDTF">2025-07-11T13:35:47Z</dcterms:modified>
</cp:coreProperties>
</file>