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202300"/>
  <mc:AlternateContent xmlns:mc="http://schemas.openxmlformats.org/markup-compatibility/2006">
    <mc:Choice Requires="x15">
      <x15ac:absPath xmlns:x15ac="http://schemas.microsoft.com/office/spreadsheetml/2010/11/ac" url="O:\FHP Occitanie\11 Service\2. Doss individuels de travail\Mathis\PSY\"/>
    </mc:Choice>
  </mc:AlternateContent>
  <xr:revisionPtr revIDLastSave="0" documentId="13_ncr:1_{3DA66E42-7091-4F96-9FF9-CA32BB07FCBE}" xr6:coauthVersionLast="47" xr6:coauthVersionMax="47" xr10:uidLastSave="{00000000-0000-0000-0000-000000000000}"/>
  <bookViews>
    <workbookView xWindow="-120" yWindow="-120" windowWidth="29040" windowHeight="15720" activeTab="7" xr2:uid="{00000000-000D-0000-FFFF-FFFF00000000}"/>
  </bookViews>
  <sheets>
    <sheet name="lisez-moi" sheetId="8" r:id="rId1"/>
    <sheet name="PSYSAE2023OC" sheetId="3" r:id="rId2"/>
    <sheet name="scansanté2024" sheetId="2" r:id="rId3"/>
    <sheet name="dotpop24" sheetId="4" r:id="rId4"/>
    <sheet name="PSYSAE2023OCTOT" sheetId="6" r:id="rId5"/>
    <sheet name="base" sheetId="5" r:id="rId6"/>
    <sheet name="infpen" sheetId="9" r:id="rId7"/>
    <sheet name="synthèse" sheetId="7" r:id="rId8"/>
  </sheets>
  <externalReferences>
    <externalReference r:id="rId9"/>
  </externalReferences>
  <definedNames>
    <definedName name="_xlnm._FilterDatabase" localSheetId="5" hidden="1">base!$A$4:$BG$78</definedName>
    <definedName name="_xlnm._FilterDatabase" localSheetId="6" hidden="1">infpen!$A$4:$AX$58</definedName>
    <definedName name="_xlnm._FilterDatabase" localSheetId="1" hidden="1">PSYSAE2023OC!$A$1:$BD$167</definedName>
    <definedName name="_xlnm._FilterDatabase" localSheetId="4" hidden="1">PSYSAE2023OCTOT!$A$1:$BD$60</definedName>
    <definedName name="_xlnm._FilterDatabase" localSheetId="2" hidden="1">scansanté2024!$A$11:$L$70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6" i="9" l="1"/>
  <c r="D64" i="7"/>
  <c r="C64" i="7"/>
  <c r="K39" i="7"/>
  <c r="K35" i="7"/>
  <c r="G35" i="7"/>
  <c r="K44" i="7"/>
  <c r="K43" i="7"/>
  <c r="K45" i="7" s="1"/>
  <c r="K42" i="7"/>
  <c r="K48" i="7"/>
  <c r="K47" i="7"/>
  <c r="K46" i="7"/>
  <c r="K20" i="7"/>
  <c r="K19" i="7"/>
  <c r="K21" i="7" s="1"/>
  <c r="K18" i="7"/>
  <c r="K16" i="7"/>
  <c r="K40" i="7" s="1"/>
  <c r="K15" i="7"/>
  <c r="K14" i="7"/>
  <c r="K38" i="7" s="1"/>
  <c r="K12" i="7"/>
  <c r="K36" i="7" s="1"/>
  <c r="K11" i="7"/>
  <c r="K10" i="7"/>
  <c r="K34" i="7" s="1"/>
  <c r="G48" i="7"/>
  <c r="H67" i="9" s="1"/>
  <c r="G47" i="7"/>
  <c r="G49" i="7" s="1"/>
  <c r="H68" i="9" s="1"/>
  <c r="G46" i="7"/>
  <c r="H65" i="9" s="1"/>
  <c r="G44" i="7"/>
  <c r="G67" i="9" s="1"/>
  <c r="G43" i="7"/>
  <c r="G42" i="7"/>
  <c r="G65" i="9" s="1"/>
  <c r="G20" i="7"/>
  <c r="G19" i="7"/>
  <c r="G18" i="7"/>
  <c r="AO54" i="9"/>
  <c r="AP54" i="9"/>
  <c r="AQ54" i="9"/>
  <c r="AO55" i="9"/>
  <c r="AP55" i="9"/>
  <c r="AQ55" i="9"/>
  <c r="AO56" i="9"/>
  <c r="AP56" i="9"/>
  <c r="AP57" i="9" s="1"/>
  <c r="AQ56" i="9"/>
  <c r="AO57" i="9"/>
  <c r="AQ57" i="9"/>
  <c r="AO63" i="9"/>
  <c r="AP63" i="9"/>
  <c r="AQ63" i="9"/>
  <c r="AR63" i="9"/>
  <c r="AS63" i="9"/>
  <c r="AT63" i="9"/>
  <c r="AU63" i="9"/>
  <c r="AV63" i="9"/>
  <c r="AW63" i="9"/>
  <c r="AX63" i="9"/>
  <c r="AO62" i="9"/>
  <c r="AP62" i="9"/>
  <c r="AQ62" i="9"/>
  <c r="AR62" i="9"/>
  <c r="AS62" i="9"/>
  <c r="AT62" i="9"/>
  <c r="AU62" i="9"/>
  <c r="AV62" i="9"/>
  <c r="AW62" i="9"/>
  <c r="AX62" i="9"/>
  <c r="AO61" i="9"/>
  <c r="AP61" i="9"/>
  <c r="AQ61" i="9"/>
  <c r="AR61" i="9"/>
  <c r="AS61" i="9"/>
  <c r="AT61" i="9"/>
  <c r="AU61" i="9"/>
  <c r="AV61" i="9"/>
  <c r="AW61" i="9"/>
  <c r="AX61" i="9"/>
  <c r="AO60" i="9"/>
  <c r="AP60" i="9"/>
  <c r="AQ60" i="9"/>
  <c r="AR60" i="9"/>
  <c r="AS60" i="9"/>
  <c r="AT60" i="9"/>
  <c r="AU60" i="9"/>
  <c r="AV60" i="9"/>
  <c r="AW60" i="9"/>
  <c r="AX60" i="9"/>
  <c r="AR57" i="9"/>
  <c r="AS57" i="9"/>
  <c r="AT57" i="9"/>
  <c r="AU57" i="9"/>
  <c r="AV57" i="9"/>
  <c r="AW57" i="9"/>
  <c r="AX57" i="9"/>
  <c r="AR56" i="9"/>
  <c r="AS56" i="9"/>
  <c r="AT56" i="9"/>
  <c r="AU56" i="9"/>
  <c r="AV56" i="9"/>
  <c r="AW56" i="9"/>
  <c r="AX56" i="9"/>
  <c r="AR55" i="9"/>
  <c r="AS55" i="9"/>
  <c r="AT55" i="9"/>
  <c r="AU55" i="9"/>
  <c r="AV55" i="9"/>
  <c r="AW55" i="9"/>
  <c r="AX55" i="9"/>
  <c r="AR54" i="9"/>
  <c r="AS54" i="9"/>
  <c r="AT54" i="9"/>
  <c r="AU54" i="9"/>
  <c r="AV54" i="9"/>
  <c r="AW54" i="9"/>
  <c r="AX54" i="9"/>
  <c r="G16" i="7"/>
  <c r="G40" i="7" s="1"/>
  <c r="G15" i="7"/>
  <c r="G17" i="7" s="1"/>
  <c r="G41" i="7" s="1"/>
  <c r="G14" i="7"/>
  <c r="G38" i="7" s="1"/>
  <c r="G12" i="7"/>
  <c r="G36" i="7" s="1"/>
  <c r="G11" i="7"/>
  <c r="G10" i="7"/>
  <c r="G34" i="7" s="1"/>
  <c r="E63" i="9"/>
  <c r="F63" i="9"/>
  <c r="G63" i="9"/>
  <c r="H63" i="9"/>
  <c r="I63" i="9"/>
  <c r="J63" i="9"/>
  <c r="K63" i="9"/>
  <c r="L63" i="9"/>
  <c r="M63" i="9"/>
  <c r="N63" i="9"/>
  <c r="O63" i="9"/>
  <c r="P63" i="9"/>
  <c r="E62" i="9"/>
  <c r="F62" i="9"/>
  <c r="G62" i="9"/>
  <c r="H62" i="9"/>
  <c r="I62" i="9"/>
  <c r="J62" i="9"/>
  <c r="K62" i="9"/>
  <c r="L62" i="9"/>
  <c r="M62" i="9"/>
  <c r="N62" i="9"/>
  <c r="O62" i="9"/>
  <c r="P62" i="9"/>
  <c r="E61" i="9"/>
  <c r="F61" i="9"/>
  <c r="G61" i="9"/>
  <c r="H61" i="9"/>
  <c r="I61" i="9"/>
  <c r="J61" i="9"/>
  <c r="K61" i="9"/>
  <c r="L61" i="9"/>
  <c r="M61" i="9"/>
  <c r="N61" i="9"/>
  <c r="O61" i="9"/>
  <c r="P61" i="9"/>
  <c r="E60" i="9"/>
  <c r="F60" i="9"/>
  <c r="G60" i="9"/>
  <c r="H60" i="9"/>
  <c r="I60" i="9"/>
  <c r="J60" i="9"/>
  <c r="K60" i="9"/>
  <c r="L60" i="9"/>
  <c r="M60" i="9"/>
  <c r="N60" i="9"/>
  <c r="O60" i="9"/>
  <c r="P60" i="9"/>
  <c r="E57" i="9"/>
  <c r="F57" i="9"/>
  <c r="G57" i="9"/>
  <c r="H57" i="9"/>
  <c r="I57" i="9"/>
  <c r="J57" i="9"/>
  <c r="K57" i="9"/>
  <c r="L57" i="9"/>
  <c r="M57" i="9"/>
  <c r="N57" i="9"/>
  <c r="O57" i="9"/>
  <c r="P57" i="9"/>
  <c r="E56" i="9"/>
  <c r="F56" i="9"/>
  <c r="G56" i="9"/>
  <c r="H56" i="9"/>
  <c r="I56" i="9"/>
  <c r="J56" i="9"/>
  <c r="K56" i="9"/>
  <c r="L56" i="9"/>
  <c r="M56" i="9"/>
  <c r="N56" i="9"/>
  <c r="O56" i="9"/>
  <c r="P56" i="9"/>
  <c r="E55" i="9"/>
  <c r="F55" i="9"/>
  <c r="G55" i="9"/>
  <c r="H55" i="9"/>
  <c r="I55" i="9"/>
  <c r="J55" i="9"/>
  <c r="K55" i="9"/>
  <c r="L55" i="9"/>
  <c r="M55" i="9"/>
  <c r="N55" i="9"/>
  <c r="O55" i="9"/>
  <c r="P55" i="9"/>
  <c r="E54" i="9"/>
  <c r="F54" i="9"/>
  <c r="G54" i="9"/>
  <c r="H54" i="9"/>
  <c r="I54" i="9"/>
  <c r="J54" i="9"/>
  <c r="K54" i="9"/>
  <c r="L54" i="9"/>
  <c r="M54" i="9"/>
  <c r="N54" i="9"/>
  <c r="O54" i="9"/>
  <c r="P54" i="9"/>
  <c r="AC63" i="9"/>
  <c r="AD63" i="9"/>
  <c r="AE63" i="9"/>
  <c r="AF63" i="9"/>
  <c r="AG63" i="9"/>
  <c r="AH63" i="9"/>
  <c r="AC62" i="9"/>
  <c r="AD62" i="9"/>
  <c r="AE62" i="9"/>
  <c r="AF62" i="9"/>
  <c r="AG62" i="9"/>
  <c r="AH62" i="9"/>
  <c r="AC61" i="9"/>
  <c r="AD61" i="9"/>
  <c r="AE61" i="9"/>
  <c r="AF61" i="9"/>
  <c r="AG61" i="9"/>
  <c r="AH61" i="9"/>
  <c r="AC60" i="9"/>
  <c r="AD60" i="9"/>
  <c r="AE60" i="9"/>
  <c r="AF60" i="9"/>
  <c r="AG60" i="9"/>
  <c r="AH60" i="9"/>
  <c r="AC54" i="9"/>
  <c r="AD54" i="9"/>
  <c r="AD57" i="9" s="1"/>
  <c r="AE54" i="9"/>
  <c r="AF54" i="9"/>
  <c r="AG54" i="9"/>
  <c r="AH54" i="9"/>
  <c r="AH57" i="9" s="1"/>
  <c r="AC55" i="9"/>
  <c r="AD55" i="9"/>
  <c r="AE55" i="9"/>
  <c r="AE57" i="9" s="1"/>
  <c r="AF55" i="9"/>
  <c r="AG55" i="9"/>
  <c r="AH55" i="9"/>
  <c r="W56" i="9"/>
  <c r="X56" i="9"/>
  <c r="Y56" i="9"/>
  <c r="Z56" i="9"/>
  <c r="AA56" i="9"/>
  <c r="AB56" i="9"/>
  <c r="AC56" i="9"/>
  <c r="AD56" i="9"/>
  <c r="AE56" i="9"/>
  <c r="AF56" i="9"/>
  <c r="AF57" i="9" s="1"/>
  <c r="AG56" i="9"/>
  <c r="AH56" i="9"/>
  <c r="AL56" i="9"/>
  <c r="AM56" i="9"/>
  <c r="AN56" i="9"/>
  <c r="AC57" i="9"/>
  <c r="AG57" i="9"/>
  <c r="B33" i="5"/>
  <c r="BC33" i="5"/>
  <c r="D5" i="9"/>
  <c r="BA73" i="5"/>
  <c r="AL1" i="9"/>
  <c r="AI6" i="9"/>
  <c r="AL6" i="9" s="1"/>
  <c r="AJ6" i="9"/>
  <c r="AM6" i="9" s="1"/>
  <c r="AK6" i="9"/>
  <c r="AI7" i="9"/>
  <c r="AL7" i="9" s="1"/>
  <c r="AJ7" i="9"/>
  <c r="AM7" i="9" s="1"/>
  <c r="AK7" i="9"/>
  <c r="AN7" i="9" s="1"/>
  <c r="AI8" i="9"/>
  <c r="AJ8" i="9"/>
  <c r="AM8" i="9" s="1"/>
  <c r="AK8" i="9"/>
  <c r="AN8" i="9" s="1"/>
  <c r="AI9" i="9"/>
  <c r="AL9" i="9" s="1"/>
  <c r="AJ9" i="9"/>
  <c r="AK9" i="9"/>
  <c r="AN9" i="9" s="1"/>
  <c r="AI10" i="9"/>
  <c r="AL10" i="9" s="1"/>
  <c r="AJ10" i="9"/>
  <c r="AM10" i="9" s="1"/>
  <c r="AK10" i="9"/>
  <c r="AN10" i="9" s="1"/>
  <c r="AI11" i="9"/>
  <c r="AL11" i="9" s="1"/>
  <c r="AJ11" i="9"/>
  <c r="AM11" i="9" s="1"/>
  <c r="AK11" i="9"/>
  <c r="AN11" i="9" s="1"/>
  <c r="AI12" i="9"/>
  <c r="AL12" i="9" s="1"/>
  <c r="AJ12" i="9"/>
  <c r="AM12" i="9" s="1"/>
  <c r="AK12" i="9"/>
  <c r="AI13" i="9"/>
  <c r="AL13" i="9" s="1"/>
  <c r="AJ13" i="9"/>
  <c r="AM13" i="9" s="1"/>
  <c r="AK13" i="9"/>
  <c r="AN13" i="9" s="1"/>
  <c r="AI14" i="9"/>
  <c r="AJ14" i="9"/>
  <c r="AM14" i="9" s="1"/>
  <c r="AK14" i="9"/>
  <c r="AN14" i="9" s="1"/>
  <c r="AI15" i="9"/>
  <c r="AL15" i="9" s="1"/>
  <c r="AJ15" i="9"/>
  <c r="AM15" i="9" s="1"/>
  <c r="AK15" i="9"/>
  <c r="AN15" i="9" s="1"/>
  <c r="AI16" i="9"/>
  <c r="AL16" i="9" s="1"/>
  <c r="AJ16" i="9"/>
  <c r="AM16" i="9" s="1"/>
  <c r="AK16" i="9"/>
  <c r="AN16" i="9" s="1"/>
  <c r="AI17" i="9"/>
  <c r="AL17" i="9" s="1"/>
  <c r="AJ17" i="9"/>
  <c r="AM17" i="9" s="1"/>
  <c r="AK17" i="9"/>
  <c r="AN17" i="9" s="1"/>
  <c r="AI18" i="9"/>
  <c r="AL18" i="9" s="1"/>
  <c r="AJ18" i="9"/>
  <c r="AM18" i="9" s="1"/>
  <c r="AK18" i="9"/>
  <c r="AN18" i="9" s="1"/>
  <c r="AI19" i="9"/>
  <c r="AL19" i="9" s="1"/>
  <c r="AJ19" i="9"/>
  <c r="AM19" i="9" s="1"/>
  <c r="AK19" i="9"/>
  <c r="AN19" i="9" s="1"/>
  <c r="AI20" i="9"/>
  <c r="AL20" i="9" s="1"/>
  <c r="AJ20" i="9"/>
  <c r="AM20" i="9" s="1"/>
  <c r="AK20" i="9"/>
  <c r="AN20" i="9" s="1"/>
  <c r="AI21" i="9"/>
  <c r="AL21" i="9" s="1"/>
  <c r="AJ21" i="9"/>
  <c r="AM21" i="9" s="1"/>
  <c r="AK21" i="9"/>
  <c r="AN21" i="9" s="1"/>
  <c r="AI22" i="9"/>
  <c r="AL22" i="9" s="1"/>
  <c r="AJ22" i="9"/>
  <c r="AM22" i="9" s="1"/>
  <c r="AK22" i="9"/>
  <c r="AN22" i="9" s="1"/>
  <c r="AI23" i="9"/>
  <c r="AL23" i="9" s="1"/>
  <c r="AJ23" i="9"/>
  <c r="AM23" i="9" s="1"/>
  <c r="AK23" i="9"/>
  <c r="AN23" i="9" s="1"/>
  <c r="AN62" i="9" s="1"/>
  <c r="AI24" i="9"/>
  <c r="AL24" i="9" s="1"/>
  <c r="AJ24" i="9"/>
  <c r="AM24" i="9" s="1"/>
  <c r="AK24" i="9"/>
  <c r="AN24" i="9" s="1"/>
  <c r="AI25" i="9"/>
  <c r="AL25" i="9" s="1"/>
  <c r="AJ25" i="9"/>
  <c r="AM25" i="9" s="1"/>
  <c r="AK25" i="9"/>
  <c r="AN25" i="9" s="1"/>
  <c r="AI26" i="9"/>
  <c r="AL26" i="9" s="1"/>
  <c r="AJ26" i="9"/>
  <c r="AM26" i="9" s="1"/>
  <c r="AK26" i="9"/>
  <c r="AN26" i="9" s="1"/>
  <c r="AI27" i="9"/>
  <c r="AL27" i="9" s="1"/>
  <c r="AJ27" i="9"/>
  <c r="AM27" i="9" s="1"/>
  <c r="AK27" i="9"/>
  <c r="AN27" i="9" s="1"/>
  <c r="AI28" i="9"/>
  <c r="AL28" i="9" s="1"/>
  <c r="AJ28" i="9"/>
  <c r="AM28" i="9" s="1"/>
  <c r="AK28" i="9"/>
  <c r="AN28" i="9" s="1"/>
  <c r="AI29" i="9"/>
  <c r="AL29" i="9" s="1"/>
  <c r="AJ29" i="9"/>
  <c r="AM29" i="9" s="1"/>
  <c r="AK29" i="9"/>
  <c r="AN29" i="9" s="1"/>
  <c r="AI30" i="9"/>
  <c r="AL30" i="9" s="1"/>
  <c r="AJ30" i="9"/>
  <c r="AM30" i="9" s="1"/>
  <c r="AK30" i="9"/>
  <c r="AN30" i="9" s="1"/>
  <c r="AI31" i="9"/>
  <c r="AL31" i="9" s="1"/>
  <c r="AJ31" i="9"/>
  <c r="AM31" i="9" s="1"/>
  <c r="AK31" i="9"/>
  <c r="AN31" i="9" s="1"/>
  <c r="AI32" i="9"/>
  <c r="AL32" i="9" s="1"/>
  <c r="AJ32" i="9"/>
  <c r="AM32" i="9" s="1"/>
  <c r="AK32" i="9"/>
  <c r="AN32" i="9" s="1"/>
  <c r="AI33" i="9"/>
  <c r="AL33" i="9" s="1"/>
  <c r="AJ33" i="9"/>
  <c r="AM33" i="9" s="1"/>
  <c r="AK33" i="9"/>
  <c r="AN33" i="9" s="1"/>
  <c r="AI34" i="9"/>
  <c r="AJ34" i="9"/>
  <c r="AM34" i="9" s="1"/>
  <c r="AK34" i="9"/>
  <c r="AN34" i="9" s="1"/>
  <c r="AI35" i="9"/>
  <c r="AL35" i="9" s="1"/>
  <c r="AJ35" i="9"/>
  <c r="AK35" i="9"/>
  <c r="AN35" i="9" s="1"/>
  <c r="AI36" i="9"/>
  <c r="AL36" i="9" s="1"/>
  <c r="AJ36" i="9"/>
  <c r="AM36" i="9" s="1"/>
  <c r="AK36" i="9"/>
  <c r="AN36" i="9" s="1"/>
  <c r="AI37" i="9"/>
  <c r="AL37" i="9" s="1"/>
  <c r="AJ37" i="9"/>
  <c r="AM37" i="9" s="1"/>
  <c r="AK37" i="9"/>
  <c r="AN37" i="9" s="1"/>
  <c r="AI38" i="9"/>
  <c r="AL38" i="9" s="1"/>
  <c r="AJ38" i="9"/>
  <c r="AM38" i="9" s="1"/>
  <c r="AK38" i="9"/>
  <c r="AN38" i="9" s="1"/>
  <c r="AI39" i="9"/>
  <c r="AL39" i="9" s="1"/>
  <c r="AJ39" i="9"/>
  <c r="AM39" i="9" s="1"/>
  <c r="AK39" i="9"/>
  <c r="AN39" i="9" s="1"/>
  <c r="AI40" i="9"/>
  <c r="AL40" i="9" s="1"/>
  <c r="AJ40" i="9"/>
  <c r="AM40" i="9" s="1"/>
  <c r="AK40" i="9"/>
  <c r="AN40" i="9" s="1"/>
  <c r="AI41" i="9"/>
  <c r="AL41" i="9" s="1"/>
  <c r="AJ41" i="9"/>
  <c r="AM41" i="9" s="1"/>
  <c r="AK41" i="9"/>
  <c r="AN41" i="9" s="1"/>
  <c r="AI42" i="9"/>
  <c r="AL42" i="9" s="1"/>
  <c r="AJ42" i="9"/>
  <c r="AM42" i="9" s="1"/>
  <c r="AK42" i="9"/>
  <c r="AN42" i="9" s="1"/>
  <c r="AI43" i="9"/>
  <c r="AL43" i="9" s="1"/>
  <c r="AJ43" i="9"/>
  <c r="AM43" i="9" s="1"/>
  <c r="AK43" i="9"/>
  <c r="AN43" i="9" s="1"/>
  <c r="AI44" i="9"/>
  <c r="AL44" i="9" s="1"/>
  <c r="AJ44" i="9"/>
  <c r="AM44" i="9" s="1"/>
  <c r="AK44" i="9"/>
  <c r="AN44" i="9" s="1"/>
  <c r="AI45" i="9"/>
  <c r="AL45" i="9" s="1"/>
  <c r="AJ45" i="9"/>
  <c r="AM45" i="9" s="1"/>
  <c r="AK45" i="9"/>
  <c r="AN45" i="9" s="1"/>
  <c r="AI46" i="9"/>
  <c r="AL46" i="9" s="1"/>
  <c r="AJ46" i="9"/>
  <c r="AM46" i="9" s="1"/>
  <c r="AK46" i="9"/>
  <c r="AN46" i="9" s="1"/>
  <c r="AI47" i="9"/>
  <c r="AL47" i="9" s="1"/>
  <c r="AJ47" i="9"/>
  <c r="AM47" i="9" s="1"/>
  <c r="AK47" i="9"/>
  <c r="AN47" i="9" s="1"/>
  <c r="AI48" i="9"/>
  <c r="AL48" i="9" s="1"/>
  <c r="AJ48" i="9"/>
  <c r="AM48" i="9" s="1"/>
  <c r="AK48" i="9"/>
  <c r="AN48" i="9" s="1"/>
  <c r="AI49" i="9"/>
  <c r="AL49" i="9" s="1"/>
  <c r="AJ49" i="9"/>
  <c r="AM49" i="9" s="1"/>
  <c r="AK49" i="9"/>
  <c r="AN49" i="9" s="1"/>
  <c r="AI50" i="9"/>
  <c r="AL50" i="9" s="1"/>
  <c r="AJ50" i="9"/>
  <c r="AM50" i="9" s="1"/>
  <c r="AK50" i="9"/>
  <c r="AN50" i="9" s="1"/>
  <c r="AI51" i="9"/>
  <c r="AL51" i="9" s="1"/>
  <c r="AJ51" i="9"/>
  <c r="AM51" i="9" s="1"/>
  <c r="AK51" i="9"/>
  <c r="AN51" i="9" s="1"/>
  <c r="AI52" i="9"/>
  <c r="AL52" i="9" s="1"/>
  <c r="AJ52" i="9"/>
  <c r="AM52" i="9" s="1"/>
  <c r="AK52" i="9"/>
  <c r="AN52" i="9" s="1"/>
  <c r="AI53" i="9"/>
  <c r="AL53" i="9" s="1"/>
  <c r="AJ53" i="9"/>
  <c r="AM53" i="9" s="1"/>
  <c r="AK53" i="9"/>
  <c r="AN53" i="9" s="1"/>
  <c r="AJ5" i="9"/>
  <c r="AM5" i="9" s="1"/>
  <c r="AK5" i="9"/>
  <c r="AN5" i="9" s="1"/>
  <c r="AI5"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6" i="9"/>
  <c r="B5" i="9"/>
  <c r="W1" i="9"/>
  <c r="Q6" i="9"/>
  <c r="R6" i="9"/>
  <c r="S6" i="9"/>
  <c r="T6" i="9"/>
  <c r="U6" i="9"/>
  <c r="V6" i="9"/>
  <c r="Q7" i="9"/>
  <c r="R7" i="9"/>
  <c r="S7" i="9"/>
  <c r="T7" i="9"/>
  <c r="U7" i="9"/>
  <c r="V7" i="9"/>
  <c r="Q8" i="9"/>
  <c r="R8" i="9"/>
  <c r="S8" i="9"/>
  <c r="T8" i="9"/>
  <c r="U8" i="9"/>
  <c r="V8" i="9"/>
  <c r="Q9" i="9"/>
  <c r="R9" i="9"/>
  <c r="S9" i="9"/>
  <c r="T9" i="9"/>
  <c r="U9" i="9"/>
  <c r="V9" i="9"/>
  <c r="Q10" i="9"/>
  <c r="R10" i="9"/>
  <c r="S10" i="9"/>
  <c r="T10" i="9"/>
  <c r="U10" i="9"/>
  <c r="AA10" i="9" s="1"/>
  <c r="V10" i="9"/>
  <c r="Q11" i="9"/>
  <c r="R11" i="9"/>
  <c r="S11" i="9"/>
  <c r="T11" i="9"/>
  <c r="U11" i="9"/>
  <c r="V11" i="9"/>
  <c r="AB11" i="9" s="1"/>
  <c r="Q12" i="9"/>
  <c r="R12" i="9"/>
  <c r="S12" i="9"/>
  <c r="T12" i="9"/>
  <c r="U12" i="9"/>
  <c r="V12" i="9"/>
  <c r="Q13" i="9"/>
  <c r="R13" i="9"/>
  <c r="S13" i="9"/>
  <c r="T13" i="9"/>
  <c r="U13" i="9"/>
  <c r="V13" i="9"/>
  <c r="Q14" i="9"/>
  <c r="R14" i="9"/>
  <c r="S14" i="9"/>
  <c r="T14" i="9"/>
  <c r="U14" i="9"/>
  <c r="V14" i="9"/>
  <c r="Q15" i="9"/>
  <c r="R15" i="9"/>
  <c r="X15" i="9" s="1"/>
  <c r="S15" i="9"/>
  <c r="T15" i="9"/>
  <c r="U15" i="9"/>
  <c r="V15" i="9"/>
  <c r="Q16" i="9"/>
  <c r="R16" i="9"/>
  <c r="S16" i="9"/>
  <c r="T16" i="9"/>
  <c r="U16" i="9"/>
  <c r="V16" i="9"/>
  <c r="Q17" i="9"/>
  <c r="R17" i="9"/>
  <c r="S17" i="9"/>
  <c r="T17" i="9"/>
  <c r="U17" i="9"/>
  <c r="V17" i="9"/>
  <c r="Q18" i="9"/>
  <c r="R18" i="9"/>
  <c r="S18" i="9"/>
  <c r="T18" i="9"/>
  <c r="U18" i="9"/>
  <c r="V18" i="9"/>
  <c r="Q19" i="9"/>
  <c r="R19" i="9"/>
  <c r="S19" i="9"/>
  <c r="Y19" i="9" s="1"/>
  <c r="T19" i="9"/>
  <c r="U19" i="9"/>
  <c r="V19" i="9"/>
  <c r="Q20" i="9"/>
  <c r="R20" i="9"/>
  <c r="S20" i="9"/>
  <c r="T20" i="9"/>
  <c r="U20" i="9"/>
  <c r="V20" i="9"/>
  <c r="Q21" i="9"/>
  <c r="R21" i="9"/>
  <c r="S21" i="9"/>
  <c r="T21" i="9"/>
  <c r="U21" i="9"/>
  <c r="V21" i="9"/>
  <c r="Q22" i="9"/>
  <c r="R22" i="9"/>
  <c r="S22" i="9"/>
  <c r="T22" i="9"/>
  <c r="U22" i="9"/>
  <c r="V22" i="9"/>
  <c r="Q23" i="9"/>
  <c r="R23" i="9"/>
  <c r="S23" i="9"/>
  <c r="T23" i="9"/>
  <c r="U23" i="9"/>
  <c r="V23" i="9"/>
  <c r="Q24" i="9"/>
  <c r="R24" i="9"/>
  <c r="S24" i="9"/>
  <c r="T24" i="9"/>
  <c r="U24" i="9"/>
  <c r="V24" i="9"/>
  <c r="Q25" i="9"/>
  <c r="R25" i="9"/>
  <c r="S25" i="9"/>
  <c r="T25" i="9"/>
  <c r="U25" i="9"/>
  <c r="V25" i="9"/>
  <c r="Q26" i="9"/>
  <c r="R26" i="9"/>
  <c r="S26" i="9"/>
  <c r="T26" i="9"/>
  <c r="U26" i="9"/>
  <c r="V26" i="9"/>
  <c r="Q27" i="9"/>
  <c r="R27" i="9"/>
  <c r="S27" i="9"/>
  <c r="T27" i="9"/>
  <c r="U27" i="9"/>
  <c r="V27" i="9"/>
  <c r="AB27" i="9" s="1"/>
  <c r="Q28" i="9"/>
  <c r="R28" i="9"/>
  <c r="S28" i="9"/>
  <c r="T28" i="9"/>
  <c r="U28" i="9"/>
  <c r="V28" i="9"/>
  <c r="Q29" i="9"/>
  <c r="R29" i="9"/>
  <c r="S29" i="9"/>
  <c r="T29" i="9"/>
  <c r="U29" i="9"/>
  <c r="V29" i="9"/>
  <c r="Q30" i="9"/>
  <c r="R30" i="9"/>
  <c r="S30" i="9"/>
  <c r="T30" i="9"/>
  <c r="U30" i="9"/>
  <c r="V30" i="9"/>
  <c r="Q31" i="9"/>
  <c r="R31" i="9"/>
  <c r="S31" i="9"/>
  <c r="T31" i="9"/>
  <c r="U31" i="9"/>
  <c r="V31" i="9"/>
  <c r="Q32" i="9"/>
  <c r="R32" i="9"/>
  <c r="S32" i="9"/>
  <c r="T32" i="9"/>
  <c r="U32" i="9"/>
  <c r="V32" i="9"/>
  <c r="Q33" i="9"/>
  <c r="R33" i="9"/>
  <c r="S33" i="9"/>
  <c r="T33" i="9"/>
  <c r="U33" i="9"/>
  <c r="V33" i="9"/>
  <c r="Q34" i="9"/>
  <c r="R34" i="9"/>
  <c r="S34" i="9"/>
  <c r="T34" i="9"/>
  <c r="U34" i="9"/>
  <c r="V34" i="9"/>
  <c r="Q35" i="9"/>
  <c r="R35" i="9"/>
  <c r="S35" i="9"/>
  <c r="T35" i="9"/>
  <c r="U35" i="9"/>
  <c r="V35" i="9"/>
  <c r="Q36" i="9"/>
  <c r="R36" i="9"/>
  <c r="S36" i="9"/>
  <c r="T36" i="9"/>
  <c r="U36" i="9"/>
  <c r="V36" i="9"/>
  <c r="Q37" i="9"/>
  <c r="R37" i="9"/>
  <c r="S37" i="9"/>
  <c r="T37" i="9"/>
  <c r="U37" i="9"/>
  <c r="V37" i="9"/>
  <c r="Q38" i="9"/>
  <c r="R38" i="9"/>
  <c r="S38" i="9"/>
  <c r="T38" i="9"/>
  <c r="U38" i="9"/>
  <c r="V38" i="9"/>
  <c r="Q39" i="9"/>
  <c r="R39" i="9"/>
  <c r="S39" i="9"/>
  <c r="T39" i="9"/>
  <c r="U39" i="9"/>
  <c r="V39" i="9"/>
  <c r="Q40" i="9"/>
  <c r="R40" i="9"/>
  <c r="S40" i="9"/>
  <c r="T40" i="9"/>
  <c r="U40" i="9"/>
  <c r="AA40" i="9" s="1"/>
  <c r="V40" i="9"/>
  <c r="Q41" i="9"/>
  <c r="R41" i="9"/>
  <c r="S41" i="9"/>
  <c r="T41" i="9"/>
  <c r="U41" i="9"/>
  <c r="V41" i="9"/>
  <c r="Q42" i="9"/>
  <c r="R42" i="9"/>
  <c r="S42" i="9"/>
  <c r="T42" i="9"/>
  <c r="U42" i="9"/>
  <c r="V42" i="9"/>
  <c r="Q43" i="9"/>
  <c r="R43" i="9"/>
  <c r="S43" i="9"/>
  <c r="T43" i="9"/>
  <c r="U43" i="9"/>
  <c r="V43" i="9"/>
  <c r="Q44" i="9"/>
  <c r="R44" i="9"/>
  <c r="S44" i="9"/>
  <c r="T44" i="9"/>
  <c r="U44" i="9"/>
  <c r="V44" i="9"/>
  <c r="Q45" i="9"/>
  <c r="R45" i="9"/>
  <c r="S45" i="9"/>
  <c r="T45" i="9"/>
  <c r="U45" i="9"/>
  <c r="V45" i="9"/>
  <c r="AB45" i="9" s="1"/>
  <c r="Q46" i="9"/>
  <c r="R46" i="9"/>
  <c r="S46" i="9"/>
  <c r="T46" i="9"/>
  <c r="U46" i="9"/>
  <c r="V46" i="9"/>
  <c r="Q47" i="9"/>
  <c r="R47" i="9"/>
  <c r="S47" i="9"/>
  <c r="T47" i="9"/>
  <c r="U47" i="9"/>
  <c r="V47" i="9"/>
  <c r="Q48" i="9"/>
  <c r="R48" i="9"/>
  <c r="S48" i="9"/>
  <c r="T48" i="9"/>
  <c r="U48" i="9"/>
  <c r="V48" i="9"/>
  <c r="Q49" i="9"/>
  <c r="R49" i="9"/>
  <c r="S49" i="9"/>
  <c r="T49" i="9"/>
  <c r="U49" i="9"/>
  <c r="V49" i="9"/>
  <c r="Q50" i="9"/>
  <c r="R50" i="9"/>
  <c r="S50" i="9"/>
  <c r="T50" i="9"/>
  <c r="U50" i="9"/>
  <c r="V50" i="9"/>
  <c r="Q51" i="9"/>
  <c r="R51" i="9"/>
  <c r="S51" i="9"/>
  <c r="T51" i="9"/>
  <c r="U51" i="9"/>
  <c r="V51" i="9"/>
  <c r="Q52" i="9"/>
  <c r="W52" i="9" s="1"/>
  <c r="R52" i="9"/>
  <c r="S52" i="9"/>
  <c r="T52" i="9"/>
  <c r="U52" i="9"/>
  <c r="V52" i="9"/>
  <c r="Q53" i="9"/>
  <c r="R53" i="9"/>
  <c r="S53" i="9"/>
  <c r="T53" i="9"/>
  <c r="U53" i="9"/>
  <c r="V53" i="9"/>
  <c r="R5" i="9"/>
  <c r="S5" i="9"/>
  <c r="T5" i="9"/>
  <c r="U5" i="9"/>
  <c r="AA5" i="9" s="1"/>
  <c r="V5" i="9"/>
  <c r="Q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 i="5"/>
  <c r="B51" i="5"/>
  <c r="C51" i="5"/>
  <c r="D51" i="5"/>
  <c r="E51" i="5"/>
  <c r="F51" i="5"/>
  <c r="G51" i="5"/>
  <c r="H51" i="5"/>
  <c r="I51" i="5"/>
  <c r="K51" i="5"/>
  <c r="O51" i="5"/>
  <c r="P51" i="5"/>
  <c r="Q51" i="5"/>
  <c r="R51" i="5"/>
  <c r="S51" i="5"/>
  <c r="T51" i="5"/>
  <c r="AB51" i="5"/>
  <c r="AD51" i="5"/>
  <c r="AE51" i="5"/>
  <c r="AF51" i="5"/>
  <c r="AG51" i="5"/>
  <c r="AH51" i="5"/>
  <c r="AJ51" i="5"/>
  <c r="AK51" i="5"/>
  <c r="AL51" i="5"/>
  <c r="AR51" i="5"/>
  <c r="AS51" i="5"/>
  <c r="AT51" i="5"/>
  <c r="AU51" i="5"/>
  <c r="AV51" i="5"/>
  <c r="AW51" i="5"/>
  <c r="AX51" i="5"/>
  <c r="AY51" i="5"/>
  <c r="AZ51" i="5"/>
  <c r="BA51" i="5"/>
  <c r="BB51" i="5"/>
  <c r="BC51" i="5"/>
  <c r="BD51" i="5"/>
  <c r="C50" i="5"/>
  <c r="D50" i="5"/>
  <c r="E50" i="5"/>
  <c r="F50" i="5"/>
  <c r="G50" i="5"/>
  <c r="H50" i="5"/>
  <c r="I50" i="5"/>
  <c r="K50" i="5"/>
  <c r="W50" i="5" s="1"/>
  <c r="O50" i="5"/>
  <c r="P50" i="5"/>
  <c r="Q50" i="5"/>
  <c r="R50" i="5"/>
  <c r="S50" i="5"/>
  <c r="T50" i="5"/>
  <c r="AB50" i="5"/>
  <c r="AD50" i="5"/>
  <c r="AE50" i="5"/>
  <c r="AF50" i="5"/>
  <c r="AG50" i="5"/>
  <c r="AH50" i="5"/>
  <c r="AJ50" i="5"/>
  <c r="AK50" i="5"/>
  <c r="AL50" i="5"/>
  <c r="AR50" i="5"/>
  <c r="AS50" i="5"/>
  <c r="AT50" i="5"/>
  <c r="AU50" i="5"/>
  <c r="AV50" i="5"/>
  <c r="AW50" i="5"/>
  <c r="AX50" i="5"/>
  <c r="AY50" i="5"/>
  <c r="AZ50" i="5"/>
  <c r="BA50" i="5"/>
  <c r="BB50" i="5"/>
  <c r="BC50" i="5"/>
  <c r="BD50" i="5"/>
  <c r="BE10" i="5"/>
  <c r="BF1" i="5"/>
  <c r="G39" i="7" l="1"/>
  <c r="K13" i="7"/>
  <c r="K37" i="7" s="1"/>
  <c r="H66" i="9"/>
  <c r="K49" i="7"/>
  <c r="K17" i="7"/>
  <c r="K41" i="7" s="1"/>
  <c r="G45" i="7"/>
  <c r="G68" i="9" s="1"/>
  <c r="G21" i="7"/>
  <c r="G13" i="7"/>
  <c r="G37" i="7" s="1"/>
  <c r="AM9" i="9"/>
  <c r="AL8" i="9"/>
  <c r="AN61" i="9"/>
  <c r="BE50" i="5"/>
  <c r="BM50" i="5" s="1"/>
  <c r="BE51" i="5"/>
  <c r="W47" i="9"/>
  <c r="Y36" i="9"/>
  <c r="W31" i="9"/>
  <c r="Y20" i="9"/>
  <c r="W9" i="9"/>
  <c r="AM61" i="9"/>
  <c r="AM54" i="9"/>
  <c r="AM60" i="9"/>
  <c r="W5" i="9"/>
  <c r="Z53" i="9"/>
  <c r="AB44" i="9"/>
  <c r="Z37" i="9"/>
  <c r="X32" i="9"/>
  <c r="AB28" i="9"/>
  <c r="Z23" i="9"/>
  <c r="AL55" i="9"/>
  <c r="AN60" i="9"/>
  <c r="AM55" i="9"/>
  <c r="AL61" i="9"/>
  <c r="AN6" i="9"/>
  <c r="AN54" i="9" s="1"/>
  <c r="X49" i="9"/>
  <c r="AN12" i="9"/>
  <c r="AN55" i="9" s="1"/>
  <c r="AM35" i="9"/>
  <c r="AM62" i="9" s="1"/>
  <c r="AM63" i="9" s="1"/>
  <c r="AL14" i="9"/>
  <c r="AL54" i="9" s="1"/>
  <c r="AL57" i="9" s="1"/>
  <c r="AL34" i="9"/>
  <c r="AL62" i="9" s="1"/>
  <c r="X16" i="9"/>
  <c r="AL5" i="9"/>
  <c r="AL60" i="9" s="1"/>
  <c r="W25" i="9"/>
  <c r="Y50" i="9"/>
  <c r="AA41" i="9"/>
  <c r="X33" i="9"/>
  <c r="AA24" i="9"/>
  <c r="X6" i="9"/>
  <c r="AB6" i="9"/>
  <c r="AA7" i="9"/>
  <c r="Z8" i="9"/>
  <c r="Y9" i="9"/>
  <c r="X10" i="9"/>
  <c r="AB10" i="9"/>
  <c r="AA11" i="9"/>
  <c r="Z12" i="9"/>
  <c r="Y13" i="9"/>
  <c r="X14" i="9"/>
  <c r="AB14" i="9"/>
  <c r="AA15" i="9"/>
  <c r="Z16" i="9"/>
  <c r="Y17" i="9"/>
  <c r="X18" i="9"/>
  <c r="AB18" i="9"/>
  <c r="AA19" i="9"/>
  <c r="Z20" i="9"/>
  <c r="Y21" i="9"/>
  <c r="X22" i="9"/>
  <c r="AB22" i="9"/>
  <c r="AA23" i="9"/>
  <c r="Z24" i="9"/>
  <c r="Y25" i="9"/>
  <c r="X26" i="9"/>
  <c r="AB26" i="9"/>
  <c r="AA27" i="9"/>
  <c r="Z28" i="9"/>
  <c r="Y29" i="9"/>
  <c r="X30" i="9"/>
  <c r="AB30" i="9"/>
  <c r="AA31" i="9"/>
  <c r="Z32" i="9"/>
  <c r="Y33" i="9"/>
  <c r="X34" i="9"/>
  <c r="AB34" i="9"/>
  <c r="AA35" i="9"/>
  <c r="Z36" i="9"/>
  <c r="Y37" i="9"/>
  <c r="X38" i="9"/>
  <c r="AB38" i="9"/>
  <c r="AA39" i="9"/>
  <c r="Z40" i="9"/>
  <c r="Y41" i="9"/>
  <c r="X42" i="9"/>
  <c r="AB42" i="9"/>
  <c r="AA43" i="9"/>
  <c r="Z44" i="9"/>
  <c r="Y45" i="9"/>
  <c r="X46" i="9"/>
  <c r="AB46" i="9"/>
  <c r="AA47" i="9"/>
  <c r="Z48" i="9"/>
  <c r="Y49" i="9"/>
  <c r="X50" i="9"/>
  <c r="AB50" i="9"/>
  <c r="AA51" i="9"/>
  <c r="Z52" i="9"/>
  <c r="Y53" i="9"/>
  <c r="Y5" i="9"/>
  <c r="W6" i="9"/>
  <c r="W10" i="9"/>
  <c r="W14" i="9"/>
  <c r="W18" i="9"/>
  <c r="W22" i="9"/>
  <c r="W26" i="9"/>
  <c r="W30" i="9"/>
  <c r="W34" i="9"/>
  <c r="W38" i="9"/>
  <c r="W42" i="9"/>
  <c r="W46" i="9"/>
  <c r="W50" i="9"/>
  <c r="Y6" i="9"/>
  <c r="X7" i="9"/>
  <c r="AB7" i="9"/>
  <c r="AA8" i="9"/>
  <c r="Z9" i="9"/>
  <c r="Y10" i="9"/>
  <c r="Z6" i="9"/>
  <c r="X8" i="9"/>
  <c r="AA9" i="9"/>
  <c r="X11" i="9"/>
  <c r="X12" i="9"/>
  <c r="X13" i="9"/>
  <c r="Y14" i="9"/>
  <c r="Y15" i="9"/>
  <c r="Y16" i="9"/>
  <c r="Z17" i="9"/>
  <c r="Z18" i="9"/>
  <c r="Z19" i="9"/>
  <c r="AA20" i="9"/>
  <c r="AA21" i="9"/>
  <c r="AA22" i="9"/>
  <c r="AB23" i="9"/>
  <c r="AB62" i="9" s="1"/>
  <c r="AB24" i="9"/>
  <c r="AB25" i="9"/>
  <c r="X27" i="9"/>
  <c r="X28" i="9"/>
  <c r="X29" i="9"/>
  <c r="Y30" i="9"/>
  <c r="Y31" i="9"/>
  <c r="Y32" i="9"/>
  <c r="Z33" i="9"/>
  <c r="Z34" i="9"/>
  <c r="Z35" i="9"/>
  <c r="AA36" i="9"/>
  <c r="AA37" i="9"/>
  <c r="AA38" i="9"/>
  <c r="AB39" i="9"/>
  <c r="AB40" i="9"/>
  <c r="AB41" i="9"/>
  <c r="X43" i="9"/>
  <c r="X44" i="9"/>
  <c r="X45" i="9"/>
  <c r="Y46" i="9"/>
  <c r="Y47" i="9"/>
  <c r="Y48" i="9"/>
  <c r="Z49" i="9"/>
  <c r="Z50" i="9"/>
  <c r="Z51" i="9"/>
  <c r="AA52" i="9"/>
  <c r="AA53" i="9"/>
  <c r="AB5" i="9"/>
  <c r="W11" i="9"/>
  <c r="W16" i="9"/>
  <c r="W21" i="9"/>
  <c r="W27" i="9"/>
  <c r="W32" i="9"/>
  <c r="W37" i="9"/>
  <c r="W43" i="9"/>
  <c r="W48" i="9"/>
  <c r="W53" i="9"/>
  <c r="AA6" i="9"/>
  <c r="Y8" i="9"/>
  <c r="AB9" i="9"/>
  <c r="Y11" i="9"/>
  <c r="Y12" i="9"/>
  <c r="Z13" i="9"/>
  <c r="Z14" i="9"/>
  <c r="Z15" i="9"/>
  <c r="AA16" i="9"/>
  <c r="AA17" i="9"/>
  <c r="AA18" i="9"/>
  <c r="AB19" i="9"/>
  <c r="AB20" i="9"/>
  <c r="AB21" i="9"/>
  <c r="X23" i="9"/>
  <c r="X24" i="9"/>
  <c r="X25" i="9"/>
  <c r="Y26" i="9"/>
  <c r="Y27" i="9"/>
  <c r="Y28" i="9"/>
  <c r="Z29" i="9"/>
  <c r="Z30" i="9"/>
  <c r="Z31" i="9"/>
  <c r="AA32" i="9"/>
  <c r="AA33" i="9"/>
  <c r="AA34" i="9"/>
  <c r="AB35" i="9"/>
  <c r="AB36" i="9"/>
  <c r="AB37" i="9"/>
  <c r="X39" i="9"/>
  <c r="X40" i="9"/>
  <c r="X41" i="9"/>
  <c r="Y42" i="9"/>
  <c r="Y43" i="9"/>
  <c r="Y44" i="9"/>
  <c r="Z45" i="9"/>
  <c r="Z46" i="9"/>
  <c r="Z47" i="9"/>
  <c r="AA48" i="9"/>
  <c r="AA49" i="9"/>
  <c r="AA50" i="9"/>
  <c r="AB51" i="9"/>
  <c r="AB52" i="9"/>
  <c r="AB53" i="9"/>
  <c r="X5" i="9"/>
  <c r="W7" i="9"/>
  <c r="W12" i="9"/>
  <c r="W17" i="9"/>
  <c r="W23" i="9"/>
  <c r="W28" i="9"/>
  <c r="W33" i="9"/>
  <c r="W39" i="9"/>
  <c r="W44" i="9"/>
  <c r="W49" i="9"/>
  <c r="Y7" i="9"/>
  <c r="AB8" i="9"/>
  <c r="Z10" i="9"/>
  <c r="Z11" i="9"/>
  <c r="AA12" i="9"/>
  <c r="AA13" i="9"/>
  <c r="AA14" i="9"/>
  <c r="AB15" i="9"/>
  <c r="AB16" i="9"/>
  <c r="AB17" i="9"/>
  <c r="X19" i="9"/>
  <c r="X20" i="9"/>
  <c r="X21" i="9"/>
  <c r="Y22" i="9"/>
  <c r="Y23" i="9"/>
  <c r="Y24" i="9"/>
  <c r="Z25" i="9"/>
  <c r="Z26" i="9"/>
  <c r="Z27" i="9"/>
  <c r="AA28" i="9"/>
  <c r="AA29" i="9"/>
  <c r="AA30" i="9"/>
  <c r="AB31" i="9"/>
  <c r="AB32" i="9"/>
  <c r="AB33" i="9"/>
  <c r="X35" i="9"/>
  <c r="X36" i="9"/>
  <c r="X37" i="9"/>
  <c r="Y38" i="9"/>
  <c r="Y39" i="9"/>
  <c r="Y40" i="9"/>
  <c r="Z41" i="9"/>
  <c r="Z42" i="9"/>
  <c r="Z43" i="9"/>
  <c r="AA44" i="9"/>
  <c r="AA45" i="9"/>
  <c r="AA46" i="9"/>
  <c r="AB47" i="9"/>
  <c r="AB48" i="9"/>
  <c r="AB49" i="9"/>
  <c r="X51" i="9"/>
  <c r="X52" i="9"/>
  <c r="X53" i="9"/>
  <c r="Z5" i="9"/>
  <c r="W8" i="9"/>
  <c r="W13" i="9"/>
  <c r="W19" i="9"/>
  <c r="W24" i="9"/>
  <c r="W29" i="9"/>
  <c r="W35" i="9"/>
  <c r="W40" i="9"/>
  <c r="W45" i="9"/>
  <c r="W51" i="9"/>
  <c r="W41" i="9"/>
  <c r="W20" i="9"/>
  <c r="Y52" i="9"/>
  <c r="X48" i="9"/>
  <c r="AB43" i="9"/>
  <c r="Z39" i="9"/>
  <c r="Y35" i="9"/>
  <c r="X31" i="9"/>
  <c r="AA26" i="9"/>
  <c r="Z22" i="9"/>
  <c r="Y18" i="9"/>
  <c r="AB13" i="9"/>
  <c r="X9" i="9"/>
  <c r="W36" i="9"/>
  <c r="W15" i="9"/>
  <c r="Y51" i="9"/>
  <c r="X47" i="9"/>
  <c r="AA42" i="9"/>
  <c r="Z38" i="9"/>
  <c r="Y34" i="9"/>
  <c r="AB29" i="9"/>
  <c r="AA25" i="9"/>
  <c r="Z21" i="9"/>
  <c r="X17" i="9"/>
  <c r="AB12" i="9"/>
  <c r="Z7" i="9"/>
  <c r="W51" i="5"/>
  <c r="AC51" i="5" s="1"/>
  <c r="U50" i="5"/>
  <c r="AA50" i="5" s="1"/>
  <c r="U51" i="5"/>
  <c r="AA51" i="5" s="1"/>
  <c r="AM51" i="5"/>
  <c r="AP51" i="5" s="1"/>
  <c r="AC50" i="5"/>
  <c r="AM50" i="5"/>
  <c r="AP50" i="5" s="1"/>
  <c r="AN50" i="5"/>
  <c r="AN51" i="5"/>
  <c r="AQ51" i="5" s="1"/>
  <c r="BM51" i="5"/>
  <c r="AQ50" i="5"/>
  <c r="X55" i="9" l="1"/>
  <c r="AN63" i="9"/>
  <c r="AM57" i="9"/>
  <c r="AN57" i="9"/>
  <c r="Z62" i="9"/>
  <c r="Z60" i="9"/>
  <c r="W60" i="9"/>
  <c r="Y61" i="9"/>
  <c r="AA60" i="9"/>
  <c r="AL63" i="9"/>
  <c r="W62" i="9"/>
  <c r="X60" i="9"/>
  <c r="AA54" i="9"/>
  <c r="AA55" i="9"/>
  <c r="Z55" i="9"/>
  <c r="Y54" i="9"/>
  <c r="W54" i="9"/>
  <c r="AB54" i="9"/>
  <c r="AA62" i="9"/>
  <c r="AB61" i="9"/>
  <c r="X61" i="9"/>
  <c r="AA61" i="9"/>
  <c r="Y60" i="9"/>
  <c r="Y55" i="9"/>
  <c r="X54" i="9"/>
  <c r="X57" i="9" s="1"/>
  <c r="Y62" i="9"/>
  <c r="W61" i="9"/>
  <c r="W63" i="9" s="1"/>
  <c r="W55" i="9"/>
  <c r="X62" i="9"/>
  <c r="AB55" i="9"/>
  <c r="AB60" i="9"/>
  <c r="Z54" i="9"/>
  <c r="Z61" i="9"/>
  <c r="Z57" i="9" l="1"/>
  <c r="W57" i="9"/>
  <c r="X63" i="9"/>
  <c r="Z63" i="9"/>
  <c r="AA63" i="9"/>
  <c r="Y57" i="9"/>
  <c r="AB63" i="9"/>
  <c r="Y63" i="9"/>
  <c r="AB57" i="9"/>
  <c r="AA57" i="9"/>
  <c r="BD6" i="5" l="1"/>
  <c r="BD8" i="5"/>
  <c r="BD9" i="5"/>
  <c r="BD11" i="5"/>
  <c r="BD12" i="5"/>
  <c r="BD14" i="5"/>
  <c r="BD15" i="5"/>
  <c r="BD16" i="5"/>
  <c r="BD21" i="5"/>
  <c r="BD22" i="5"/>
  <c r="BD28" i="5"/>
  <c r="BD29" i="5"/>
  <c r="BD33" i="5"/>
  <c r="BD34" i="5"/>
  <c r="BD35" i="5"/>
  <c r="BD37" i="5"/>
  <c r="BD39" i="5"/>
  <c r="BD41" i="5"/>
  <c r="BD42" i="5"/>
  <c r="BD44" i="5"/>
  <c r="BD52" i="5"/>
  <c r="BD53" i="5"/>
  <c r="BD55" i="5"/>
  <c r="BD56" i="5"/>
  <c r="BD57" i="5"/>
  <c r="BD60" i="5"/>
  <c r="BD61" i="5"/>
  <c r="BD64" i="5"/>
  <c r="BC6" i="5"/>
  <c r="BE6" i="5" s="1"/>
  <c r="BC7" i="5"/>
  <c r="BE7" i="5" s="1"/>
  <c r="BC8" i="5"/>
  <c r="BC9" i="5"/>
  <c r="BE9" i="5" s="1"/>
  <c r="BC11" i="5"/>
  <c r="BC12" i="5"/>
  <c r="BE12" i="5" s="1"/>
  <c r="BC13" i="5"/>
  <c r="BE13" i="5" s="1"/>
  <c r="BC14" i="5"/>
  <c r="BC15" i="5"/>
  <c r="BC16" i="5"/>
  <c r="BC17" i="5"/>
  <c r="BE17" i="5" s="1"/>
  <c r="BC18" i="5"/>
  <c r="BE18" i="5" s="1"/>
  <c r="BC19" i="5"/>
  <c r="BE19" i="5" s="1"/>
  <c r="BC20" i="5"/>
  <c r="BE20" i="5" s="1"/>
  <c r="BC21" i="5"/>
  <c r="BE21" i="5" s="1"/>
  <c r="BC22" i="5"/>
  <c r="BC23" i="5"/>
  <c r="BE23" i="5" s="1"/>
  <c r="BC24" i="5"/>
  <c r="BE24" i="5" s="1"/>
  <c r="BC25" i="5"/>
  <c r="BE25" i="5" s="1"/>
  <c r="BC26" i="5"/>
  <c r="BE26" i="5" s="1"/>
  <c r="BC27" i="5"/>
  <c r="BE27" i="5" s="1"/>
  <c r="BC28" i="5"/>
  <c r="BC29" i="5"/>
  <c r="BC30" i="5"/>
  <c r="BE30" i="5" s="1"/>
  <c r="BC31" i="5"/>
  <c r="BE31" i="5" s="1"/>
  <c r="BC32" i="5"/>
  <c r="BE32" i="5" s="1"/>
  <c r="BE33" i="5"/>
  <c r="BC34" i="5"/>
  <c r="BC35" i="5"/>
  <c r="BC36" i="5"/>
  <c r="BE36" i="5" s="1"/>
  <c r="BC37" i="5"/>
  <c r="BC38" i="5"/>
  <c r="BE38" i="5" s="1"/>
  <c r="BC39" i="5"/>
  <c r="BE39" i="5" s="1"/>
  <c r="BC40" i="5"/>
  <c r="BE40" i="5" s="1"/>
  <c r="BC41" i="5"/>
  <c r="BC42" i="5"/>
  <c r="BE42" i="5" s="1"/>
  <c r="BC43" i="5"/>
  <c r="BE43" i="5" s="1"/>
  <c r="BC44" i="5"/>
  <c r="BC45" i="5"/>
  <c r="BE45" i="5" s="1"/>
  <c r="BC46" i="5"/>
  <c r="BE46" i="5" s="1"/>
  <c r="BC47" i="5"/>
  <c r="BE47" i="5" s="1"/>
  <c r="BC48" i="5"/>
  <c r="BE48" i="5" s="1"/>
  <c r="BC49" i="5"/>
  <c r="BE49" i="5" s="1"/>
  <c r="BC52" i="5"/>
  <c r="BE52" i="5" s="1"/>
  <c r="BC53" i="5"/>
  <c r="BE53" i="5" s="1"/>
  <c r="BC54" i="5"/>
  <c r="BE54" i="5" s="1"/>
  <c r="BC55" i="5"/>
  <c r="BC56" i="5"/>
  <c r="BE56" i="5" s="1"/>
  <c r="BC57" i="5"/>
  <c r="BC58" i="5"/>
  <c r="BE58" i="5" s="1"/>
  <c r="BC59" i="5"/>
  <c r="BE59" i="5" s="1"/>
  <c r="BC60" i="5"/>
  <c r="BE60" i="5" s="1"/>
  <c r="BC61" i="5"/>
  <c r="BC63" i="5"/>
  <c r="BE63" i="5" s="1"/>
  <c r="BC64" i="5"/>
  <c r="BD5" i="5"/>
  <c r="BC5" i="5"/>
  <c r="B76" i="7"/>
  <c r="B75" i="7"/>
  <c r="K5" i="7"/>
  <c r="BF2" i="5" s="1"/>
  <c r="B23" i="5"/>
  <c r="AR7" i="5"/>
  <c r="AR8" i="5"/>
  <c r="AR10" i="5"/>
  <c r="AR11" i="5"/>
  <c r="AR13" i="5"/>
  <c r="AR16" i="5"/>
  <c r="AR17" i="5"/>
  <c r="AR18" i="5"/>
  <c r="AR19" i="5"/>
  <c r="AR20" i="5"/>
  <c r="AR21" i="5"/>
  <c r="AR22" i="5"/>
  <c r="AR23" i="5"/>
  <c r="AR24" i="5"/>
  <c r="AR25" i="5"/>
  <c r="AR27" i="5"/>
  <c r="AR28" i="5"/>
  <c r="AR29" i="5"/>
  <c r="AR30" i="5"/>
  <c r="AR31" i="5"/>
  <c r="AR32" i="5"/>
  <c r="AR34" i="5"/>
  <c r="AR35" i="5"/>
  <c r="AR36" i="5"/>
  <c r="AR37" i="5"/>
  <c r="AR38" i="5"/>
  <c r="AR40" i="5"/>
  <c r="AR42" i="5"/>
  <c r="AR43" i="5"/>
  <c r="AR44" i="5"/>
  <c r="AR45" i="5"/>
  <c r="AR46" i="5"/>
  <c r="AR47" i="5"/>
  <c r="AR49" i="5"/>
  <c r="AR54" i="5"/>
  <c r="AR58" i="5"/>
  <c r="AR59" i="5"/>
  <c r="AR63" i="5"/>
  <c r="AQ7" i="5"/>
  <c r="AQ8" i="5"/>
  <c r="AQ10" i="5"/>
  <c r="AQ13" i="5"/>
  <c r="AQ14" i="5"/>
  <c r="AQ16" i="5"/>
  <c r="AQ17" i="5"/>
  <c r="AQ18" i="5"/>
  <c r="AQ19" i="5"/>
  <c r="AQ20" i="5"/>
  <c r="AQ21" i="5"/>
  <c r="AQ22" i="5"/>
  <c r="AQ23" i="5"/>
  <c r="AQ24" i="5"/>
  <c r="AQ25" i="5"/>
  <c r="AQ26" i="5"/>
  <c r="AQ27" i="5"/>
  <c r="AQ29" i="5"/>
  <c r="AQ30" i="5"/>
  <c r="AQ31" i="5"/>
  <c r="AQ32" i="5"/>
  <c r="AQ34" i="5"/>
  <c r="AQ36" i="5"/>
  <c r="AQ37" i="5"/>
  <c r="AQ38" i="5"/>
  <c r="AQ40" i="5"/>
  <c r="AQ43" i="5"/>
  <c r="AQ44" i="5"/>
  <c r="AQ45" i="5"/>
  <c r="AQ46" i="5"/>
  <c r="AQ47" i="5"/>
  <c r="AQ49" i="5"/>
  <c r="AQ54" i="5"/>
  <c r="AQ58" i="5"/>
  <c r="AQ59" i="5"/>
  <c r="AQ63" i="5"/>
  <c r="AQ64" i="5"/>
  <c r="AR5" i="5"/>
  <c r="AP7" i="5"/>
  <c r="AP13" i="5"/>
  <c r="AP18" i="5"/>
  <c r="AP19" i="5"/>
  <c r="AP27" i="5"/>
  <c r="AP46" i="5"/>
  <c r="AP47" i="5"/>
  <c r="AF7" i="5"/>
  <c r="AF8" i="5"/>
  <c r="AF9" i="5"/>
  <c r="AF10" i="5"/>
  <c r="AF11" i="5"/>
  <c r="AF13" i="5"/>
  <c r="AF14" i="5"/>
  <c r="AF16" i="5"/>
  <c r="AF17" i="5"/>
  <c r="AF18" i="5"/>
  <c r="AF19" i="5"/>
  <c r="AF20" i="5"/>
  <c r="AF21" i="5"/>
  <c r="AF22" i="5"/>
  <c r="AF23" i="5"/>
  <c r="AF24" i="5"/>
  <c r="AF25" i="5"/>
  <c r="AF26" i="5"/>
  <c r="AF29" i="5"/>
  <c r="AF30" i="5"/>
  <c r="AF31" i="5"/>
  <c r="AF32" i="5"/>
  <c r="AF34" i="5"/>
  <c r="AF35" i="5"/>
  <c r="AF36" i="5"/>
  <c r="AF37" i="5"/>
  <c r="AF38" i="5"/>
  <c r="AF40" i="5"/>
  <c r="AF43" i="5"/>
  <c r="AF44" i="5"/>
  <c r="AF45" i="5"/>
  <c r="AF46" i="5"/>
  <c r="AF47" i="5"/>
  <c r="AF49" i="5"/>
  <c r="AF54" i="5"/>
  <c r="AF58" i="5"/>
  <c r="AF59" i="5"/>
  <c r="AF60" i="5"/>
  <c r="AF63" i="5"/>
  <c r="AF64" i="5"/>
  <c r="AE7" i="5"/>
  <c r="AE8" i="5"/>
  <c r="AE9" i="5"/>
  <c r="AE10" i="5"/>
  <c r="AE13" i="5"/>
  <c r="AE14" i="5"/>
  <c r="AE16" i="5"/>
  <c r="AE18" i="5"/>
  <c r="AE19" i="5"/>
  <c r="AE21" i="5"/>
  <c r="AE22" i="5"/>
  <c r="AE23" i="5"/>
  <c r="AE24" i="5"/>
  <c r="AE25" i="5"/>
  <c r="AE26" i="5"/>
  <c r="AE27" i="5"/>
  <c r="AE29" i="5"/>
  <c r="AE30" i="5"/>
  <c r="AE31" i="5"/>
  <c r="AE32" i="5"/>
  <c r="AE35" i="5"/>
  <c r="AE36" i="5"/>
  <c r="AE37" i="5"/>
  <c r="AE38" i="5"/>
  <c r="AE40" i="5"/>
  <c r="AE41" i="5"/>
  <c r="AE43" i="5"/>
  <c r="AE44" i="5"/>
  <c r="AE45" i="5"/>
  <c r="AE46" i="5"/>
  <c r="AE47" i="5"/>
  <c r="AE49" i="5"/>
  <c r="AE53" i="5"/>
  <c r="AE54" i="5"/>
  <c r="AE58" i="5"/>
  <c r="AE59" i="5"/>
  <c r="AE63" i="5"/>
  <c r="AE64" i="5"/>
  <c r="AD7" i="5"/>
  <c r="AD8" i="5"/>
  <c r="AD9" i="5"/>
  <c r="AD10" i="5"/>
  <c r="AD11" i="5"/>
  <c r="AD14" i="5"/>
  <c r="AD16" i="5"/>
  <c r="AD17" i="5"/>
  <c r="AD18" i="5"/>
  <c r="AD19" i="5"/>
  <c r="AD20" i="5"/>
  <c r="AD21" i="5"/>
  <c r="AD22" i="5"/>
  <c r="AD23" i="5"/>
  <c r="AD24" i="5"/>
  <c r="AD25" i="5"/>
  <c r="AD26" i="5"/>
  <c r="AD27" i="5"/>
  <c r="AD29" i="5"/>
  <c r="AD30" i="5"/>
  <c r="AD31" i="5"/>
  <c r="AD32" i="5"/>
  <c r="AD34" i="5"/>
  <c r="AD35" i="5"/>
  <c r="AD36" i="5"/>
  <c r="AD38" i="5"/>
  <c r="AD40" i="5"/>
  <c r="AD41" i="5"/>
  <c r="AD42" i="5"/>
  <c r="AD43" i="5"/>
  <c r="AD44" i="5"/>
  <c r="AD46" i="5"/>
  <c r="AD47" i="5"/>
  <c r="AD49" i="5"/>
  <c r="AD54" i="5"/>
  <c r="AD58" i="5"/>
  <c r="AD60" i="5"/>
  <c r="AD63" i="5"/>
  <c r="AD64" i="5"/>
  <c r="AC7" i="5"/>
  <c r="AC8" i="5"/>
  <c r="AC9" i="5"/>
  <c r="AC10" i="5"/>
  <c r="AC13" i="5"/>
  <c r="AC14" i="5"/>
  <c r="AC16" i="5"/>
  <c r="AC17" i="5"/>
  <c r="AC18" i="5"/>
  <c r="AC19" i="5"/>
  <c r="AC20" i="5"/>
  <c r="AC21" i="5"/>
  <c r="AC22" i="5"/>
  <c r="AC23" i="5"/>
  <c r="AC24" i="5"/>
  <c r="AC25" i="5"/>
  <c r="AC26" i="5"/>
  <c r="AC27" i="5"/>
  <c r="AC29" i="5"/>
  <c r="AC30" i="5"/>
  <c r="AC31" i="5"/>
  <c r="AC32" i="5"/>
  <c r="AC34" i="5"/>
  <c r="AC35" i="5"/>
  <c r="AC36" i="5"/>
  <c r="AC37" i="5"/>
  <c r="AC38" i="5"/>
  <c r="AC40" i="5"/>
  <c r="AC41" i="5"/>
  <c r="AC42" i="5"/>
  <c r="AC43" i="5"/>
  <c r="AC45" i="5"/>
  <c r="AC46" i="5"/>
  <c r="AC47" i="5"/>
  <c r="AC49" i="5"/>
  <c r="AC53" i="5"/>
  <c r="AC54" i="5"/>
  <c r="AC58" i="5"/>
  <c r="AC59" i="5"/>
  <c r="AC60" i="5"/>
  <c r="AC64" i="5"/>
  <c r="AB7" i="5"/>
  <c r="AB8" i="5"/>
  <c r="AB9" i="5"/>
  <c r="AB10" i="5"/>
  <c r="AB13" i="5"/>
  <c r="AB17" i="5"/>
  <c r="AB18" i="5"/>
  <c r="AB19" i="5"/>
  <c r="AB20" i="5"/>
  <c r="AB22" i="5"/>
  <c r="AB23" i="5"/>
  <c r="AB24" i="5"/>
  <c r="AB25" i="5"/>
  <c r="AB26" i="5"/>
  <c r="AB27" i="5"/>
  <c r="AB29" i="5"/>
  <c r="AB30" i="5"/>
  <c r="AB31" i="5"/>
  <c r="AB32" i="5"/>
  <c r="AB34" i="5"/>
  <c r="AB35" i="5"/>
  <c r="AB36" i="5"/>
  <c r="AB37" i="5"/>
  <c r="AB38" i="5"/>
  <c r="AB40" i="5"/>
  <c r="AB41" i="5"/>
  <c r="AB43" i="5"/>
  <c r="AB45" i="5"/>
  <c r="AB46" i="5"/>
  <c r="AB47" i="5"/>
  <c r="AB49" i="5"/>
  <c r="AB54" i="5"/>
  <c r="AB58" i="5"/>
  <c r="AB59" i="5"/>
  <c r="AB60" i="5"/>
  <c r="AB63" i="5"/>
  <c r="AB64" i="5"/>
  <c r="AC5" i="5"/>
  <c r="AD5" i="5"/>
  <c r="AE5" i="5"/>
  <c r="AF5" i="5"/>
  <c r="AA13" i="5"/>
  <c r="AA21" i="5"/>
  <c r="AA29" i="5"/>
  <c r="AA35" i="5"/>
  <c r="AA36" i="5"/>
  <c r="AA37" i="5"/>
  <c r="AA64" i="5"/>
  <c r="BE64" i="5" l="1"/>
  <c r="BE28" i="5"/>
  <c r="BE35" i="5"/>
  <c r="BE15" i="5"/>
  <c r="BN51" i="5"/>
  <c r="BF50" i="5"/>
  <c r="BN50" i="5"/>
  <c r="BF51" i="5"/>
  <c r="BE37" i="5"/>
  <c r="BE29" i="5"/>
  <c r="BE61" i="5"/>
  <c r="BE44" i="5"/>
  <c r="BE11" i="5"/>
  <c r="BE55" i="5"/>
  <c r="BE41" i="5"/>
  <c r="BE8" i="5"/>
  <c r="BE5" i="5"/>
  <c r="BE57" i="5"/>
  <c r="BE16" i="5"/>
  <c r="BE34" i="5"/>
  <c r="BE22" i="5"/>
  <c r="BE14" i="5"/>
  <c r="BA6" i="5"/>
  <c r="BA8" i="5"/>
  <c r="BA9" i="5"/>
  <c r="BA11" i="5"/>
  <c r="BA12" i="5"/>
  <c r="BA14" i="5"/>
  <c r="BA15" i="5"/>
  <c r="BA16" i="5"/>
  <c r="BA28" i="5"/>
  <c r="BA29" i="5"/>
  <c r="BA33" i="5"/>
  <c r="BA34" i="5"/>
  <c r="BA39" i="5"/>
  <c r="BA41" i="5"/>
  <c r="BA42" i="5"/>
  <c r="BA44" i="5"/>
  <c r="BA52" i="5"/>
  <c r="BA53" i="5"/>
  <c r="BA55" i="5"/>
  <c r="BA56" i="5"/>
  <c r="BA57" i="5"/>
  <c r="BA60" i="5"/>
  <c r="BA61" i="5"/>
  <c r="AZ6" i="5"/>
  <c r="AZ8" i="5"/>
  <c r="AZ9" i="5"/>
  <c r="AZ11" i="5"/>
  <c r="AZ12" i="5"/>
  <c r="AZ14" i="5"/>
  <c r="AZ15" i="5"/>
  <c r="AZ16" i="5"/>
  <c r="AZ28" i="5"/>
  <c r="AZ29" i="5"/>
  <c r="AZ33" i="5"/>
  <c r="AZ34" i="5"/>
  <c r="AZ39" i="5"/>
  <c r="AZ41" i="5"/>
  <c r="AZ42" i="5"/>
  <c r="AZ44" i="5"/>
  <c r="AZ52" i="5"/>
  <c r="AZ53" i="5"/>
  <c r="AZ55" i="5"/>
  <c r="AZ56" i="5"/>
  <c r="AZ57" i="5"/>
  <c r="AZ60" i="5"/>
  <c r="AZ61" i="5"/>
  <c r="AY6" i="5"/>
  <c r="AY8" i="5"/>
  <c r="AY9" i="5"/>
  <c r="AY11" i="5"/>
  <c r="AY12" i="5"/>
  <c r="AY14" i="5"/>
  <c r="AY15" i="5"/>
  <c r="AY16" i="5"/>
  <c r="AY21" i="5"/>
  <c r="AY28" i="5"/>
  <c r="AY29" i="5"/>
  <c r="AY33" i="5"/>
  <c r="AY34" i="5"/>
  <c r="AY39" i="5"/>
  <c r="AY41" i="5"/>
  <c r="AY42" i="5"/>
  <c r="AY44" i="5"/>
  <c r="AY52" i="5"/>
  <c r="AY53" i="5"/>
  <c r="AY55" i="5"/>
  <c r="AY56" i="5"/>
  <c r="AY57" i="5"/>
  <c r="AY60" i="5"/>
  <c r="AY61" i="5"/>
  <c r="AX8" i="5"/>
  <c r="AX9" i="5"/>
  <c r="AX11" i="5"/>
  <c r="AX12" i="5"/>
  <c r="AX14" i="5"/>
  <c r="AX15" i="5"/>
  <c r="AX16" i="5"/>
  <c r="AX28" i="5"/>
  <c r="AX29" i="5"/>
  <c r="AX33" i="5"/>
  <c r="AX34" i="5"/>
  <c r="AX39" i="5"/>
  <c r="AX41" i="5"/>
  <c r="AX44" i="5"/>
  <c r="AX52" i="5"/>
  <c r="AX53" i="5"/>
  <c r="AX55" i="5"/>
  <c r="AX56" i="5"/>
  <c r="AX57" i="5"/>
  <c r="AX60" i="5"/>
  <c r="AX61" i="5"/>
  <c r="AW9" i="5"/>
  <c r="AW11" i="5"/>
  <c r="AW12" i="5"/>
  <c r="AW14" i="5"/>
  <c r="AW15" i="5"/>
  <c r="AW16" i="5"/>
  <c r="AW21" i="5"/>
  <c r="AW28" i="5"/>
  <c r="AW29" i="5"/>
  <c r="AW33" i="5"/>
  <c r="AW34" i="5"/>
  <c r="AW39" i="5"/>
  <c r="AW41" i="5"/>
  <c r="AW42" i="5"/>
  <c r="AW44" i="5"/>
  <c r="AW52" i="5"/>
  <c r="AW53" i="5"/>
  <c r="AW55" i="5"/>
  <c r="AW56" i="5"/>
  <c r="AW57" i="5"/>
  <c r="AW60" i="5"/>
  <c r="AW61" i="5"/>
  <c r="AV6" i="5"/>
  <c r="AV8" i="5"/>
  <c r="AV9" i="5"/>
  <c r="AV11" i="5"/>
  <c r="AV12" i="5"/>
  <c r="AV14" i="5"/>
  <c r="AV15" i="5"/>
  <c r="AV16" i="5"/>
  <c r="AV21" i="5"/>
  <c r="AV22" i="5"/>
  <c r="AV28" i="5"/>
  <c r="AV29" i="5"/>
  <c r="AV33" i="5"/>
  <c r="AV34" i="5"/>
  <c r="AV39" i="5"/>
  <c r="AV41" i="5"/>
  <c r="AV42" i="5"/>
  <c r="AV44" i="5"/>
  <c r="AV52" i="5"/>
  <c r="AV53" i="5"/>
  <c r="AV55" i="5"/>
  <c r="AV56" i="5"/>
  <c r="AV57" i="5"/>
  <c r="AV60" i="5"/>
  <c r="AV61" i="5"/>
  <c r="AV64" i="5"/>
  <c r="AU8" i="5"/>
  <c r="AU9" i="5"/>
  <c r="AU10" i="5"/>
  <c r="AU11" i="5"/>
  <c r="AU12" i="5"/>
  <c r="AU14" i="5"/>
  <c r="AU15" i="5"/>
  <c r="AU16" i="5"/>
  <c r="AU28" i="5"/>
  <c r="AU29" i="5"/>
  <c r="AU33" i="5"/>
  <c r="AU34" i="5"/>
  <c r="AU39" i="5"/>
  <c r="AU41" i="5"/>
  <c r="AU44" i="5"/>
  <c r="AU52" i="5"/>
  <c r="AU53" i="5"/>
  <c r="AU55" i="5"/>
  <c r="AU56" i="5"/>
  <c r="AU57" i="5"/>
  <c r="AU60" i="5"/>
  <c r="AU61" i="5"/>
  <c r="AT9" i="5"/>
  <c r="AT11" i="5"/>
  <c r="AT12" i="5"/>
  <c r="AT14" i="5"/>
  <c r="AT15" i="5"/>
  <c r="AT16" i="5"/>
  <c r="AT21" i="5"/>
  <c r="AT28" i="5"/>
  <c r="AT29" i="5"/>
  <c r="AT33" i="5"/>
  <c r="AT34" i="5"/>
  <c r="AT39" i="5"/>
  <c r="AT41" i="5"/>
  <c r="AT42" i="5"/>
  <c r="AT44" i="5"/>
  <c r="AT52" i="5"/>
  <c r="AT53" i="5"/>
  <c r="AT55" i="5"/>
  <c r="AT56" i="5"/>
  <c r="AT57" i="5"/>
  <c r="AT60" i="5"/>
  <c r="AT61" i="5"/>
  <c r="BB6" i="5"/>
  <c r="BB8" i="5"/>
  <c r="BB9" i="5"/>
  <c r="BB11" i="5"/>
  <c r="BB12" i="5"/>
  <c r="BB14" i="5"/>
  <c r="BB15" i="5"/>
  <c r="BB16" i="5"/>
  <c r="BB21" i="5"/>
  <c r="BB28" i="5"/>
  <c r="BB29" i="5"/>
  <c r="BB33" i="5"/>
  <c r="BB34" i="5"/>
  <c r="BB39" i="5"/>
  <c r="BB41" i="5"/>
  <c r="BB42" i="5"/>
  <c r="BB44" i="5"/>
  <c r="BB52" i="5"/>
  <c r="BB53" i="5"/>
  <c r="BB55" i="5"/>
  <c r="BB56" i="5"/>
  <c r="BB57" i="5"/>
  <c r="BB60" i="5"/>
  <c r="BB61" i="5"/>
  <c r="AS6" i="5"/>
  <c r="AS8" i="5"/>
  <c r="AS9" i="5"/>
  <c r="AS10" i="5"/>
  <c r="AS11" i="5"/>
  <c r="AS12" i="5"/>
  <c r="AS14" i="5"/>
  <c r="AS15" i="5"/>
  <c r="AS16" i="5"/>
  <c r="AS21" i="5"/>
  <c r="AS22" i="5"/>
  <c r="AS28" i="5"/>
  <c r="AS29" i="5"/>
  <c r="AS33" i="5"/>
  <c r="AS34" i="5"/>
  <c r="AS39" i="5"/>
  <c r="AS41" i="5"/>
  <c r="AS42" i="5"/>
  <c r="AS44" i="5"/>
  <c r="AS48" i="5"/>
  <c r="AS52" i="5"/>
  <c r="AS53" i="5"/>
  <c r="AS55" i="5"/>
  <c r="AS56" i="5"/>
  <c r="AS57" i="5"/>
  <c r="AS60" i="5"/>
  <c r="AS61" i="5"/>
  <c r="AS64" i="5"/>
  <c r="BB5" i="5"/>
  <c r="BA5" i="5"/>
  <c r="AZ5" i="5"/>
  <c r="AY5" i="5"/>
  <c r="AX5" i="5"/>
  <c r="AW5" i="5"/>
  <c r="AV5" i="5"/>
  <c r="AU5" i="5"/>
  <c r="AT5" i="5"/>
  <c r="AS5" i="5"/>
  <c r="AL6" i="5"/>
  <c r="AL9" i="5"/>
  <c r="AL12" i="5"/>
  <c r="AL14" i="5"/>
  <c r="AL15" i="5"/>
  <c r="AL26" i="5"/>
  <c r="AL33" i="5"/>
  <c r="AL39" i="5"/>
  <c r="AL41" i="5"/>
  <c r="AL48" i="5"/>
  <c r="AL55" i="5"/>
  <c r="AL56" i="5"/>
  <c r="AL57" i="5"/>
  <c r="AL60" i="5"/>
  <c r="AL61" i="5"/>
  <c r="AL64" i="5"/>
  <c r="AK6" i="5"/>
  <c r="AK9" i="5"/>
  <c r="AK11" i="5"/>
  <c r="AK12" i="5"/>
  <c r="AK15" i="5"/>
  <c r="AK28" i="5"/>
  <c r="AK33" i="5"/>
  <c r="AK39" i="5"/>
  <c r="AK42" i="5"/>
  <c r="AK48" i="5"/>
  <c r="AK53" i="5"/>
  <c r="AK55" i="5"/>
  <c r="AK56" i="5"/>
  <c r="AK57" i="5"/>
  <c r="AK60" i="5"/>
  <c r="AK61" i="5"/>
  <c r="AK5" i="5"/>
  <c r="AJ6" i="5"/>
  <c r="AJ8" i="5"/>
  <c r="AJ9" i="5"/>
  <c r="AJ10" i="5"/>
  <c r="AJ11" i="5"/>
  <c r="AJ12" i="5"/>
  <c r="AJ14" i="5"/>
  <c r="AJ15" i="5"/>
  <c r="AJ16" i="5"/>
  <c r="AJ17" i="5"/>
  <c r="AJ20" i="5"/>
  <c r="AJ21" i="5"/>
  <c r="AJ22" i="5"/>
  <c r="AJ23" i="5"/>
  <c r="AJ24" i="5"/>
  <c r="AJ25" i="5"/>
  <c r="AJ26" i="5"/>
  <c r="AJ28" i="5"/>
  <c r="AJ29" i="5"/>
  <c r="AJ30" i="5"/>
  <c r="AJ31" i="5"/>
  <c r="AJ32" i="5"/>
  <c r="AJ33" i="5"/>
  <c r="AJ34" i="5"/>
  <c r="AJ35" i="5"/>
  <c r="AJ36" i="5"/>
  <c r="AJ37" i="5"/>
  <c r="AJ38" i="5"/>
  <c r="AJ39" i="5"/>
  <c r="AJ40" i="5"/>
  <c r="AJ41" i="5"/>
  <c r="AJ42" i="5"/>
  <c r="AJ43" i="5"/>
  <c r="AJ44" i="5"/>
  <c r="AJ45" i="5"/>
  <c r="AJ48" i="5"/>
  <c r="AJ49" i="5"/>
  <c r="AJ52" i="5"/>
  <c r="AJ53" i="5"/>
  <c r="AJ54" i="5"/>
  <c r="AJ55" i="5"/>
  <c r="AJ56" i="5"/>
  <c r="AJ57" i="5"/>
  <c r="AJ58" i="5"/>
  <c r="AJ59" i="5"/>
  <c r="AJ60" i="5"/>
  <c r="AJ61" i="5"/>
  <c r="AJ63" i="5"/>
  <c r="AI6" i="5"/>
  <c r="AI9" i="5"/>
  <c r="AI12" i="5"/>
  <c r="AI14" i="5"/>
  <c r="AI15" i="5"/>
  <c r="AR15" i="5" s="1"/>
  <c r="AI26" i="5"/>
  <c r="AI33" i="5"/>
  <c r="AR33" i="5" s="1"/>
  <c r="AI39" i="5"/>
  <c r="AI41" i="5"/>
  <c r="AI48" i="5"/>
  <c r="AR48" i="5" s="1"/>
  <c r="AR52" i="5"/>
  <c r="AI53" i="5"/>
  <c r="AR53" i="5" s="1"/>
  <c r="AI55" i="5"/>
  <c r="AR55" i="5" s="1"/>
  <c r="AI56" i="5"/>
  <c r="AR56" i="5" s="1"/>
  <c r="AI57" i="5"/>
  <c r="AR57" i="5" s="1"/>
  <c r="AI60" i="5"/>
  <c r="AI61" i="5"/>
  <c r="AR61" i="5" s="1"/>
  <c r="AI64" i="5"/>
  <c r="AJ5" i="5"/>
  <c r="AH6" i="5"/>
  <c r="AQ6" i="5" s="1"/>
  <c r="AH9" i="5"/>
  <c r="AH11" i="5"/>
  <c r="AH12" i="5"/>
  <c r="AQ12" i="5" s="1"/>
  <c r="AH15" i="5"/>
  <c r="AH28" i="5"/>
  <c r="AH33" i="5"/>
  <c r="AQ33" i="5" s="1"/>
  <c r="AH35" i="5"/>
  <c r="AQ35" i="5" s="1"/>
  <c r="AH39" i="5"/>
  <c r="AH41" i="5"/>
  <c r="AQ41" i="5" s="1"/>
  <c r="AH42" i="5"/>
  <c r="AH48" i="5"/>
  <c r="AQ48" i="5" s="1"/>
  <c r="AQ52" i="5"/>
  <c r="AH53" i="5"/>
  <c r="AH55" i="5"/>
  <c r="AQ55" i="5" s="1"/>
  <c r="AH56" i="5"/>
  <c r="AQ56" i="5" s="1"/>
  <c r="AH57" i="5"/>
  <c r="AQ57" i="5" s="1"/>
  <c r="AH60" i="5"/>
  <c r="AH61" i="5"/>
  <c r="AH5" i="5"/>
  <c r="AG6" i="5"/>
  <c r="AG8" i="5"/>
  <c r="AG9" i="5"/>
  <c r="AG10" i="5"/>
  <c r="AG11" i="5"/>
  <c r="AG12" i="5"/>
  <c r="AG14" i="5"/>
  <c r="AG15" i="5"/>
  <c r="AG16" i="5"/>
  <c r="AG17" i="5"/>
  <c r="AG20" i="5"/>
  <c r="AG21" i="5"/>
  <c r="AG22" i="5"/>
  <c r="AG23" i="5"/>
  <c r="AG24" i="5"/>
  <c r="AG25" i="5"/>
  <c r="AG26" i="5"/>
  <c r="AG28" i="5"/>
  <c r="AG29" i="5"/>
  <c r="AG30" i="5"/>
  <c r="AG31" i="5"/>
  <c r="AG32" i="5"/>
  <c r="AG33" i="5"/>
  <c r="AG34" i="5"/>
  <c r="AG35" i="5"/>
  <c r="AG36" i="5"/>
  <c r="AG37" i="5"/>
  <c r="AG38" i="5"/>
  <c r="AG39" i="5"/>
  <c r="AG40" i="5"/>
  <c r="AG41" i="5"/>
  <c r="AG42" i="5"/>
  <c r="AG43" i="5"/>
  <c r="AG44" i="5"/>
  <c r="AG45" i="5"/>
  <c r="AG48" i="5"/>
  <c r="AP48" i="5" s="1"/>
  <c r="AG49" i="5"/>
  <c r="AG52" i="5"/>
  <c r="AG53" i="5"/>
  <c r="AG54" i="5"/>
  <c r="AG55" i="5"/>
  <c r="AP55" i="5" s="1"/>
  <c r="AG56" i="5"/>
  <c r="AP57" i="5"/>
  <c r="AG58" i="5"/>
  <c r="AG59" i="5"/>
  <c r="AG60" i="5"/>
  <c r="AG61" i="5"/>
  <c r="AG63" i="5"/>
  <c r="AG64" i="5"/>
  <c r="AP64" i="5" s="1"/>
  <c r="AG5" i="5"/>
  <c r="S6" i="5"/>
  <c r="S11" i="5"/>
  <c r="S12" i="5"/>
  <c r="S15" i="5"/>
  <c r="S17" i="5"/>
  <c r="S20" i="5"/>
  <c r="S28" i="5"/>
  <c r="S33" i="5"/>
  <c r="S34" i="5"/>
  <c r="S39" i="5"/>
  <c r="S42" i="5"/>
  <c r="S48" i="5"/>
  <c r="S55" i="5"/>
  <c r="S56" i="5"/>
  <c r="S57" i="5"/>
  <c r="S60" i="5"/>
  <c r="S61" i="5"/>
  <c r="P28" i="5"/>
  <c r="M58" i="6"/>
  <c r="J62" i="5" s="1"/>
  <c r="N58" i="6"/>
  <c r="O58" i="6"/>
  <c r="L62" i="5" s="1"/>
  <c r="AD62" i="5" s="1"/>
  <c r="P58" i="6"/>
  <c r="M62" i="5" s="1"/>
  <c r="AE62" i="5" s="1"/>
  <c r="Q58" i="6"/>
  <c r="N62" i="5" s="1"/>
  <c r="R58" i="6"/>
  <c r="S58" i="6"/>
  <c r="AG62" i="5" s="1"/>
  <c r="T58" i="6"/>
  <c r="AH62" i="5" s="1"/>
  <c r="AQ62" i="5" s="1"/>
  <c r="U58" i="6"/>
  <c r="AI62" i="5" s="1"/>
  <c r="AR62" i="5" s="1"/>
  <c r="V58" i="6"/>
  <c r="W58" i="6"/>
  <c r="O62" i="5" s="1"/>
  <c r="X58" i="6"/>
  <c r="P62" i="5" s="1"/>
  <c r="Y58" i="6"/>
  <c r="Q62" i="5" s="1"/>
  <c r="Z58" i="6"/>
  <c r="AA58" i="6"/>
  <c r="S62" i="5" s="1"/>
  <c r="AB58" i="6"/>
  <c r="T62" i="5" s="1"/>
  <c r="AC58" i="6"/>
  <c r="AJ62" i="5" s="1"/>
  <c r="AD58" i="6"/>
  <c r="AK62" i="5" s="1"/>
  <c r="AE58" i="6"/>
  <c r="AL62" i="5" s="1"/>
  <c r="AF58" i="6"/>
  <c r="AS62" i="5" s="1"/>
  <c r="AG58" i="6"/>
  <c r="AT62" i="5" s="1"/>
  <c r="AH58" i="6"/>
  <c r="AU62" i="5" s="1"/>
  <c r="AI58" i="6"/>
  <c r="AV62" i="5" s="1"/>
  <c r="AJ58" i="6"/>
  <c r="AW62" i="5" s="1"/>
  <c r="AK58" i="6"/>
  <c r="AX62" i="5" s="1"/>
  <c r="AL58" i="6"/>
  <c r="AY62" i="5" s="1"/>
  <c r="AM58" i="6"/>
  <c r="AZ62" i="5" s="1"/>
  <c r="AN58" i="6"/>
  <c r="BA62" i="5" s="1"/>
  <c r="AO58" i="6"/>
  <c r="BB62" i="5" s="1"/>
  <c r="AP58" i="6"/>
  <c r="BC62" i="5" s="1"/>
  <c r="AQ58" i="6"/>
  <c r="BD62" i="5" s="1"/>
  <c r="L58" i="6"/>
  <c r="I62" i="5" s="1"/>
  <c r="T6" i="5"/>
  <c r="T12" i="5"/>
  <c r="T15" i="5"/>
  <c r="T27" i="5"/>
  <c r="T28" i="5"/>
  <c r="T33" i="5"/>
  <c r="T39" i="5"/>
  <c r="T41" i="5"/>
  <c r="T42" i="5"/>
  <c r="T48" i="5"/>
  <c r="T53" i="5"/>
  <c r="T55" i="5"/>
  <c r="T56" i="5"/>
  <c r="T57" i="5"/>
  <c r="T60" i="5"/>
  <c r="T61" i="5"/>
  <c r="R6" i="5"/>
  <c r="R12" i="5"/>
  <c r="R13" i="5"/>
  <c r="R15" i="5"/>
  <c r="R28" i="5"/>
  <c r="R33" i="5"/>
  <c r="R37" i="5"/>
  <c r="R39" i="5"/>
  <c r="R45" i="5"/>
  <c r="R48" i="5"/>
  <c r="R53" i="5"/>
  <c r="R55" i="5"/>
  <c r="R56" i="5"/>
  <c r="R57" i="5"/>
  <c r="R59" i="5"/>
  <c r="R60" i="5"/>
  <c r="R61" i="5"/>
  <c r="R62" i="5"/>
  <c r="Q6" i="5"/>
  <c r="Q11" i="5"/>
  <c r="Q12" i="5"/>
  <c r="Q15" i="5"/>
  <c r="Q28" i="5"/>
  <c r="Q33" i="5"/>
  <c r="Q39" i="5"/>
  <c r="Q44" i="5"/>
  <c r="Q48" i="5"/>
  <c r="Q52" i="5"/>
  <c r="Q55" i="5"/>
  <c r="Q56" i="5"/>
  <c r="Q57" i="5"/>
  <c r="Q60" i="5"/>
  <c r="Q61" i="5"/>
  <c r="Q63" i="5"/>
  <c r="P6" i="5"/>
  <c r="P11" i="5"/>
  <c r="P12" i="5"/>
  <c r="P15" i="5"/>
  <c r="P16" i="5"/>
  <c r="P21" i="5"/>
  <c r="P33" i="5"/>
  <c r="P39" i="5"/>
  <c r="P42" i="5"/>
  <c r="P44" i="5"/>
  <c r="P48" i="5"/>
  <c r="P52" i="5"/>
  <c r="P53" i="5"/>
  <c r="P55" i="5"/>
  <c r="P56" i="5"/>
  <c r="P57" i="5"/>
  <c r="P60" i="5"/>
  <c r="P61" i="5"/>
  <c r="P5" i="5"/>
  <c r="O5" i="5"/>
  <c r="O6" i="5"/>
  <c r="O7" i="5"/>
  <c r="O8" i="5"/>
  <c r="O9" i="5"/>
  <c r="O10" i="5"/>
  <c r="O11" i="5"/>
  <c r="O12" i="5"/>
  <c r="O14" i="5"/>
  <c r="O15" i="5"/>
  <c r="O16" i="5"/>
  <c r="O17" i="5"/>
  <c r="O18" i="5"/>
  <c r="O19" i="5"/>
  <c r="O20" i="5"/>
  <c r="O22" i="5"/>
  <c r="O23" i="5"/>
  <c r="O24" i="5"/>
  <c r="O25" i="5"/>
  <c r="O26" i="5"/>
  <c r="O27" i="5"/>
  <c r="O28" i="5"/>
  <c r="O30" i="5"/>
  <c r="O31" i="5"/>
  <c r="O32" i="5"/>
  <c r="O34" i="5"/>
  <c r="O38" i="5"/>
  <c r="O39" i="5"/>
  <c r="O40" i="5"/>
  <c r="O41" i="5"/>
  <c r="O42" i="5"/>
  <c r="O43" i="5"/>
  <c r="O44" i="5"/>
  <c r="O45" i="5"/>
  <c r="O46" i="5"/>
  <c r="O47" i="5"/>
  <c r="O48" i="5"/>
  <c r="O49" i="5"/>
  <c r="O52" i="5"/>
  <c r="O53" i="5"/>
  <c r="O54" i="5"/>
  <c r="O55" i="5"/>
  <c r="O56" i="5"/>
  <c r="O58" i="5"/>
  <c r="O59" i="5"/>
  <c r="O60" i="5"/>
  <c r="O61" i="5"/>
  <c r="O63" i="5"/>
  <c r="N6" i="5"/>
  <c r="N12" i="5"/>
  <c r="AF12" i="5" s="1"/>
  <c r="N15" i="5"/>
  <c r="AF15" i="5" s="1"/>
  <c r="N27" i="5"/>
  <c r="N28" i="5"/>
  <c r="N33" i="5"/>
  <c r="AF33" i="5" s="1"/>
  <c r="N39" i="5"/>
  <c r="AF39" i="5" s="1"/>
  <c r="N41" i="5"/>
  <c r="N42" i="5"/>
  <c r="N48" i="5"/>
  <c r="AF48" i="5" s="1"/>
  <c r="AF52" i="5"/>
  <c r="N53" i="5"/>
  <c r="N55" i="5"/>
  <c r="AF55" i="5" s="1"/>
  <c r="N56" i="5"/>
  <c r="AF56" i="5" s="1"/>
  <c r="N57" i="5"/>
  <c r="AF57" i="5" s="1"/>
  <c r="N61" i="5"/>
  <c r="AF61" i="5" s="1"/>
  <c r="M6" i="5"/>
  <c r="M11" i="5"/>
  <c r="M12" i="5"/>
  <c r="AE12" i="5" s="1"/>
  <c r="M15" i="5"/>
  <c r="AE15" i="5" s="1"/>
  <c r="M17" i="5"/>
  <c r="M20" i="5"/>
  <c r="M28" i="5"/>
  <c r="M33" i="5"/>
  <c r="AE33" i="5" s="1"/>
  <c r="M34" i="5"/>
  <c r="M39" i="5"/>
  <c r="AE39" i="5" s="1"/>
  <c r="M42" i="5"/>
  <c r="M48" i="5"/>
  <c r="AE52" i="5"/>
  <c r="M55" i="5"/>
  <c r="AE55" i="5" s="1"/>
  <c r="M56" i="5"/>
  <c r="M57" i="5"/>
  <c r="AE57" i="5" s="1"/>
  <c r="M60" i="5"/>
  <c r="AE60" i="5" s="1"/>
  <c r="M61" i="5"/>
  <c r="L6" i="5"/>
  <c r="L12" i="5"/>
  <c r="AD12" i="5" s="1"/>
  <c r="L13" i="5"/>
  <c r="L15" i="5"/>
  <c r="AD15" i="5" s="1"/>
  <c r="L28" i="5"/>
  <c r="L33" i="5"/>
  <c r="AD33" i="5" s="1"/>
  <c r="L37" i="5"/>
  <c r="L39" i="5"/>
  <c r="AD39" i="5" s="1"/>
  <c r="L45" i="5"/>
  <c r="L48" i="5"/>
  <c r="AD48" i="5" s="1"/>
  <c r="AD52" i="5"/>
  <c r="L53" i="5"/>
  <c r="L55" i="5"/>
  <c r="AD55" i="5" s="1"/>
  <c r="L56" i="5"/>
  <c r="L57" i="5"/>
  <c r="AD57" i="5" s="1"/>
  <c r="L59" i="5"/>
  <c r="L61" i="5"/>
  <c r="AD61" i="5" s="1"/>
  <c r="K6" i="5"/>
  <c r="K11" i="5"/>
  <c r="K12" i="5"/>
  <c r="AC12" i="5" s="1"/>
  <c r="K15" i="5"/>
  <c r="AC15" i="5" s="1"/>
  <c r="K28" i="5"/>
  <c r="K33" i="5"/>
  <c r="AC33" i="5" s="1"/>
  <c r="K39" i="5"/>
  <c r="AC39" i="5" s="1"/>
  <c r="K44" i="5"/>
  <c r="K48" i="5"/>
  <c r="AC48" i="5" s="1"/>
  <c r="K52" i="5"/>
  <c r="AC52" i="5" s="1"/>
  <c r="K55" i="5"/>
  <c r="AC55" i="5" s="1"/>
  <c r="K56" i="5"/>
  <c r="K57" i="5"/>
  <c r="AC57" i="5" s="1"/>
  <c r="K61" i="5"/>
  <c r="AC61" i="5" s="1"/>
  <c r="K62" i="5"/>
  <c r="AC62" i="5" s="1"/>
  <c r="K63" i="5"/>
  <c r="J5" i="5"/>
  <c r="J6" i="5"/>
  <c r="J11" i="5"/>
  <c r="J12" i="5"/>
  <c r="AB12" i="5" s="1"/>
  <c r="J14" i="5"/>
  <c r="AB14" i="5" s="1"/>
  <c r="J15" i="5"/>
  <c r="AB15" i="5" s="1"/>
  <c r="J16" i="5"/>
  <c r="J21" i="5"/>
  <c r="J28" i="5"/>
  <c r="J33" i="5"/>
  <c r="J39" i="5"/>
  <c r="AB39" i="5" s="1"/>
  <c r="J42" i="5"/>
  <c r="J44" i="5"/>
  <c r="J48" i="5"/>
  <c r="AB48" i="5" s="1"/>
  <c r="J52" i="5"/>
  <c r="AB52" i="5" s="1"/>
  <c r="J53" i="5"/>
  <c r="J55" i="5"/>
  <c r="AB55" i="5" s="1"/>
  <c r="J56" i="5"/>
  <c r="J57" i="5"/>
  <c r="AB57" i="5" s="1"/>
  <c r="J61" i="5"/>
  <c r="AB61" i="5" s="1"/>
  <c r="I5" i="5"/>
  <c r="I6" i="5"/>
  <c r="I7" i="5"/>
  <c r="I8" i="5"/>
  <c r="I9" i="5"/>
  <c r="I10" i="5"/>
  <c r="I11" i="5"/>
  <c r="I12" i="5"/>
  <c r="AA12" i="5" s="1"/>
  <c r="I14" i="5"/>
  <c r="I15" i="5"/>
  <c r="I16" i="5"/>
  <c r="I17" i="5"/>
  <c r="I18" i="5"/>
  <c r="I19" i="5"/>
  <c r="I20" i="5"/>
  <c r="I22" i="5"/>
  <c r="I23" i="5"/>
  <c r="I24" i="5"/>
  <c r="I25" i="5"/>
  <c r="I26" i="5"/>
  <c r="I27" i="5"/>
  <c r="I28" i="5"/>
  <c r="I30" i="5"/>
  <c r="I31" i="5"/>
  <c r="I32" i="5"/>
  <c r="I33" i="5"/>
  <c r="I34" i="5"/>
  <c r="I38" i="5"/>
  <c r="I39" i="5"/>
  <c r="I40" i="5"/>
  <c r="I41" i="5"/>
  <c r="I42" i="5"/>
  <c r="I43" i="5"/>
  <c r="I44" i="5"/>
  <c r="I45" i="5"/>
  <c r="I46" i="5"/>
  <c r="I47" i="5"/>
  <c r="I48" i="5"/>
  <c r="I49" i="5"/>
  <c r="I52" i="5"/>
  <c r="I53" i="5"/>
  <c r="I54" i="5"/>
  <c r="I55" i="5"/>
  <c r="I56" i="5"/>
  <c r="I58" i="5"/>
  <c r="I59" i="5"/>
  <c r="I60" i="5"/>
  <c r="I61" i="5"/>
  <c r="I63" i="5"/>
  <c r="B34"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2" i="5"/>
  <c r="H53" i="5"/>
  <c r="H54" i="5"/>
  <c r="H55" i="5"/>
  <c r="H56" i="5"/>
  <c r="H57" i="5"/>
  <c r="H58" i="5"/>
  <c r="H59" i="5"/>
  <c r="H60" i="5"/>
  <c r="H61" i="5"/>
  <c r="H62" i="5"/>
  <c r="H63" i="5"/>
  <c r="H64" i="5"/>
  <c r="H5" i="5"/>
  <c r="D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2" i="5"/>
  <c r="C53" i="5"/>
  <c r="C54" i="5"/>
  <c r="C55" i="5"/>
  <c r="C56" i="5"/>
  <c r="C57" i="5"/>
  <c r="C58" i="5"/>
  <c r="C59" i="5"/>
  <c r="C60" i="5"/>
  <c r="C61" i="5"/>
  <c r="C62" i="5"/>
  <c r="C63" i="5"/>
  <c r="C64" i="5"/>
  <c r="C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2" i="5"/>
  <c r="G53" i="5"/>
  <c r="G54" i="5"/>
  <c r="G55" i="5"/>
  <c r="G56" i="5"/>
  <c r="G57" i="5"/>
  <c r="G58" i="5"/>
  <c r="G59" i="5"/>
  <c r="G60" i="5"/>
  <c r="G61" i="5"/>
  <c r="G62" i="5"/>
  <c r="G63"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2" i="5"/>
  <c r="F53" i="5"/>
  <c r="F54" i="5"/>
  <c r="F55" i="5"/>
  <c r="F56" i="5"/>
  <c r="F57" i="5"/>
  <c r="F58" i="5"/>
  <c r="F59" i="5"/>
  <c r="F60" i="5"/>
  <c r="F61" i="5"/>
  <c r="F62" i="5"/>
  <c r="F63"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2" i="5"/>
  <c r="E53" i="5"/>
  <c r="E54" i="5"/>
  <c r="E55" i="5"/>
  <c r="E56" i="5"/>
  <c r="E57" i="5"/>
  <c r="E58" i="5"/>
  <c r="E59" i="5"/>
  <c r="E60" i="5"/>
  <c r="E61" i="5"/>
  <c r="E62" i="5"/>
  <c r="E63" i="5"/>
  <c r="G5" i="5"/>
  <c r="F5" i="5"/>
  <c r="E5" i="5"/>
  <c r="B25" i="5"/>
  <c r="B6" i="5"/>
  <c r="B7" i="5"/>
  <c r="B8" i="5"/>
  <c r="B9" i="5"/>
  <c r="B10" i="5"/>
  <c r="B11" i="5"/>
  <c r="B12" i="5"/>
  <c r="B13" i="5"/>
  <c r="B14" i="5"/>
  <c r="B15" i="5"/>
  <c r="B16" i="5"/>
  <c r="B17" i="5"/>
  <c r="B18" i="5"/>
  <c r="B19" i="5"/>
  <c r="B20" i="5"/>
  <c r="B21" i="5"/>
  <c r="B22" i="5"/>
  <c r="B24" i="5"/>
  <c r="B26" i="5"/>
  <c r="B27" i="5"/>
  <c r="B28" i="5"/>
  <c r="B29" i="5"/>
  <c r="B30" i="5"/>
  <c r="B31" i="5"/>
  <c r="B32" i="5"/>
  <c r="B35" i="5"/>
  <c r="B36" i="5"/>
  <c r="B37" i="5"/>
  <c r="B38" i="5"/>
  <c r="B39" i="5"/>
  <c r="B40" i="5"/>
  <c r="B41" i="5"/>
  <c r="B42" i="5"/>
  <c r="B43" i="5"/>
  <c r="B44" i="5"/>
  <c r="B45" i="5"/>
  <c r="B46" i="5"/>
  <c r="B47" i="5"/>
  <c r="B48" i="5"/>
  <c r="B49" i="5"/>
  <c r="B50" i="5"/>
  <c r="B52" i="5"/>
  <c r="B53" i="5"/>
  <c r="B54" i="5"/>
  <c r="B55" i="5"/>
  <c r="B56" i="5"/>
  <c r="B57" i="5"/>
  <c r="B58" i="5"/>
  <c r="B59" i="5"/>
  <c r="B60" i="5"/>
  <c r="B61" i="5"/>
  <c r="B62" i="5"/>
  <c r="B63"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O33" i="5" s="1"/>
  <c r="D34" i="5"/>
  <c r="D35" i="5"/>
  <c r="D36" i="5"/>
  <c r="D37" i="5"/>
  <c r="D38" i="5"/>
  <c r="D39" i="5"/>
  <c r="D40" i="5"/>
  <c r="D41" i="5"/>
  <c r="D42" i="5"/>
  <c r="D43" i="5"/>
  <c r="D44" i="5"/>
  <c r="D45" i="5"/>
  <c r="D46" i="5"/>
  <c r="D47" i="5"/>
  <c r="D48" i="5"/>
  <c r="D49" i="5"/>
  <c r="D52" i="5"/>
  <c r="D53" i="5"/>
  <c r="D54" i="5"/>
  <c r="D55" i="5"/>
  <c r="D56" i="5"/>
  <c r="D57" i="5"/>
  <c r="O57" i="5" s="1"/>
  <c r="D58" i="5"/>
  <c r="D59" i="5"/>
  <c r="D60" i="5"/>
  <c r="D61" i="5"/>
  <c r="D62" i="5"/>
  <c r="D63" i="5"/>
  <c r="AD67" i="4"/>
  <c r="AC67" i="4"/>
  <c r="AA67" i="4"/>
  <c r="Z67" i="4"/>
  <c r="X67" i="4"/>
  <c r="T67" i="4"/>
  <c r="J67" i="4"/>
  <c r="AE67" i="4" s="1"/>
  <c r="E67" i="4"/>
  <c r="AC66" i="4"/>
  <c r="AD66" i="4" s="1"/>
  <c r="AA66" i="4"/>
  <c r="Z66" i="4"/>
  <c r="X66" i="4"/>
  <c r="T66" i="4"/>
  <c r="J66" i="4"/>
  <c r="Y66" i="4" s="1"/>
  <c r="E66" i="4"/>
  <c r="AI65" i="4"/>
  <c r="AH65" i="4"/>
  <c r="AD65" i="4"/>
  <c r="AC65" i="4"/>
  <c r="AA65" i="4"/>
  <c r="Z65" i="4"/>
  <c r="X65" i="4"/>
  <c r="T65" i="4"/>
  <c r="J65" i="4"/>
  <c r="Y65" i="4" s="1"/>
  <c r="E65" i="4"/>
  <c r="AD64" i="4"/>
  <c r="AC64" i="4"/>
  <c r="AA64" i="4"/>
  <c r="Z64" i="4"/>
  <c r="X64" i="4"/>
  <c r="T64" i="4"/>
  <c r="L64" i="4"/>
  <c r="J64" i="4"/>
  <c r="Y64" i="4" s="1"/>
  <c r="E64" i="4"/>
  <c r="AD63" i="4"/>
  <c r="AC63" i="4"/>
  <c r="AA63" i="4"/>
  <c r="Z63" i="4"/>
  <c r="X63" i="4"/>
  <c r="T63" i="4"/>
  <c r="J63" i="4"/>
  <c r="Y63" i="4" s="1"/>
  <c r="E63" i="4"/>
  <c r="AC62" i="4"/>
  <c r="AD62" i="4" s="1"/>
  <c r="AA62" i="4"/>
  <c r="Z62" i="4"/>
  <c r="X62" i="4"/>
  <c r="T62" i="4"/>
  <c r="J62" i="4"/>
  <c r="Y62" i="4" s="1"/>
  <c r="E62" i="4"/>
  <c r="AD61" i="4"/>
  <c r="AC61" i="4"/>
  <c r="AA61" i="4"/>
  <c r="Z61" i="4"/>
  <c r="X61" i="4"/>
  <c r="T61" i="4"/>
  <c r="J61" i="4"/>
  <c r="Y61" i="4" s="1"/>
  <c r="E61" i="4"/>
  <c r="AD60" i="4"/>
  <c r="AC60" i="4"/>
  <c r="AA60" i="4"/>
  <c r="Z60" i="4"/>
  <c r="X60" i="4"/>
  <c r="T60" i="4"/>
  <c r="J60" i="4"/>
  <c r="Y60" i="4" s="1"/>
  <c r="E60" i="4"/>
  <c r="AD59" i="4"/>
  <c r="AC59" i="4"/>
  <c r="AA59" i="4"/>
  <c r="Z59" i="4"/>
  <c r="X59" i="4"/>
  <c r="T59" i="4"/>
  <c r="J59" i="4"/>
  <c r="AE59" i="4" s="1"/>
  <c r="E59" i="4"/>
  <c r="AC58" i="4"/>
  <c r="AD58" i="4" s="1"/>
  <c r="AA58" i="4"/>
  <c r="Z58" i="4"/>
  <c r="X58" i="4"/>
  <c r="T58" i="4"/>
  <c r="J58" i="4"/>
  <c r="Y58" i="4" s="1"/>
  <c r="E58" i="4"/>
  <c r="AD57" i="4"/>
  <c r="AC57" i="4"/>
  <c r="AA57" i="4"/>
  <c r="Z57" i="4"/>
  <c r="X57" i="4"/>
  <c r="T57" i="4"/>
  <c r="J57" i="4"/>
  <c r="Y57" i="4" s="1"/>
  <c r="E57" i="4"/>
  <c r="AD56" i="4"/>
  <c r="AC56" i="4"/>
  <c r="AA56" i="4"/>
  <c r="Z56" i="4"/>
  <c r="X56" i="4"/>
  <c r="T56" i="4"/>
  <c r="J56" i="4"/>
  <c r="Y56" i="4" s="1"/>
  <c r="E56" i="4"/>
  <c r="AD55" i="4"/>
  <c r="AC55" i="4"/>
  <c r="AA55" i="4"/>
  <c r="Z55" i="4"/>
  <c r="X55" i="4"/>
  <c r="T55" i="4"/>
  <c r="J55" i="4"/>
  <c r="Y55" i="4" s="1"/>
  <c r="E55" i="4"/>
  <c r="AC54" i="4"/>
  <c r="AD54" i="4" s="1"/>
  <c r="AA54" i="4"/>
  <c r="Z54" i="4"/>
  <c r="X54" i="4"/>
  <c r="T54" i="4"/>
  <c r="J54" i="4"/>
  <c r="Y54" i="4" s="1"/>
  <c r="E54" i="4"/>
  <c r="AD53" i="4"/>
  <c r="AC53" i="4"/>
  <c r="AA53" i="4"/>
  <c r="Z53" i="4"/>
  <c r="X53" i="4"/>
  <c r="T53" i="4"/>
  <c r="J53" i="4"/>
  <c r="Y53" i="4" s="1"/>
  <c r="E53" i="4"/>
  <c r="AD52" i="4"/>
  <c r="AC52" i="4"/>
  <c r="AA52" i="4"/>
  <c r="Z52" i="4"/>
  <c r="X52" i="4"/>
  <c r="T52" i="4"/>
  <c r="L52" i="4"/>
  <c r="J52" i="4"/>
  <c r="Y52" i="4" s="1"/>
  <c r="E52" i="4"/>
  <c r="AD51" i="4"/>
  <c r="AC51" i="4"/>
  <c r="AA51" i="4"/>
  <c r="Z51" i="4"/>
  <c r="X51" i="4"/>
  <c r="T51" i="4"/>
  <c r="J51" i="4"/>
  <c r="AE51" i="4" s="1"/>
  <c r="E51" i="4"/>
  <c r="AE50" i="4"/>
  <c r="AC50" i="4"/>
  <c r="AD50" i="4" s="1"/>
  <c r="AA50" i="4"/>
  <c r="Z50" i="4"/>
  <c r="X50" i="4"/>
  <c r="T50" i="4"/>
  <c r="L50" i="4"/>
  <c r="J50" i="4"/>
  <c r="Y50" i="4" s="1"/>
  <c r="E50" i="4"/>
  <c r="AD49" i="4"/>
  <c r="AC49" i="4"/>
  <c r="AA49" i="4"/>
  <c r="Z49" i="4"/>
  <c r="X49" i="4"/>
  <c r="T49" i="4"/>
  <c r="J49" i="4"/>
  <c r="Y49" i="4" s="1"/>
  <c r="E49" i="4"/>
  <c r="AD48" i="4"/>
  <c r="AC48" i="4"/>
  <c r="AA48" i="4"/>
  <c r="Z48" i="4"/>
  <c r="X48" i="4"/>
  <c r="T48" i="4"/>
  <c r="J48" i="4"/>
  <c r="Y48" i="4" s="1"/>
  <c r="E48" i="4"/>
  <c r="AD47" i="4"/>
  <c r="AC47" i="4"/>
  <c r="AA47" i="4"/>
  <c r="Z47" i="4"/>
  <c r="X47" i="4"/>
  <c r="T47" i="4"/>
  <c r="J47" i="4"/>
  <c r="AE47" i="4" s="1"/>
  <c r="E47" i="4"/>
  <c r="AI46" i="4"/>
  <c r="AH46" i="4"/>
  <c r="AD46" i="4"/>
  <c r="AC46" i="4"/>
  <c r="AA46" i="4"/>
  <c r="Z46" i="4"/>
  <c r="X46" i="4"/>
  <c r="T46" i="4"/>
  <c r="J46" i="4"/>
  <c r="Y46" i="4" s="1"/>
  <c r="E46" i="4"/>
  <c r="AI45" i="4"/>
  <c r="AH45" i="4"/>
  <c r="AD45" i="4"/>
  <c r="AC45" i="4"/>
  <c r="AA45" i="4"/>
  <c r="Z45" i="4"/>
  <c r="X45" i="4"/>
  <c r="T45" i="4"/>
  <c r="J45" i="4"/>
  <c r="Y45" i="4" s="1"/>
  <c r="E45" i="4"/>
  <c r="AD44" i="4"/>
  <c r="AC44" i="4"/>
  <c r="AA44" i="4"/>
  <c r="Z44" i="4"/>
  <c r="X44" i="4"/>
  <c r="T44" i="4"/>
  <c r="J44" i="4"/>
  <c r="Y44" i="4" s="1"/>
  <c r="E44" i="4"/>
  <c r="AD43" i="4"/>
  <c r="AC43" i="4"/>
  <c r="AA43" i="4"/>
  <c r="Z43" i="4"/>
  <c r="X43" i="4"/>
  <c r="T43" i="4"/>
  <c r="J43" i="4"/>
  <c r="Y43" i="4" s="1"/>
  <c r="E43" i="4"/>
  <c r="AI42" i="4"/>
  <c r="AH42" i="4"/>
  <c r="AD42" i="4"/>
  <c r="AC42" i="4"/>
  <c r="AA42" i="4"/>
  <c r="Z42" i="4"/>
  <c r="X42" i="4"/>
  <c r="T42" i="4"/>
  <c r="J42" i="4"/>
  <c r="Y42" i="4" s="1"/>
  <c r="E42" i="4"/>
  <c r="AD41" i="4"/>
  <c r="AC41" i="4"/>
  <c r="AA41" i="4"/>
  <c r="Z41" i="4"/>
  <c r="X41" i="4"/>
  <c r="T41" i="4"/>
  <c r="J41" i="4"/>
  <c r="AE41" i="4" s="1"/>
  <c r="E41" i="4"/>
  <c r="AC40" i="4"/>
  <c r="AD40" i="4" s="1"/>
  <c r="AA40" i="4"/>
  <c r="Z40" i="4"/>
  <c r="X40" i="4"/>
  <c r="T40" i="4"/>
  <c r="L40" i="4"/>
  <c r="J40" i="4"/>
  <c r="Y40" i="4" s="1"/>
  <c r="E40" i="4"/>
  <c r="AD39" i="4"/>
  <c r="AC39" i="4"/>
  <c r="AA39" i="4"/>
  <c r="Z39" i="4"/>
  <c r="X39" i="4"/>
  <c r="T39" i="4"/>
  <c r="J39" i="4"/>
  <c r="Y39" i="4" s="1"/>
  <c r="E39" i="4"/>
  <c r="AI38" i="4"/>
  <c r="AH38" i="4"/>
  <c r="AC38" i="4"/>
  <c r="AD38" i="4" s="1"/>
  <c r="AA38" i="4"/>
  <c r="Z38" i="4"/>
  <c r="X38" i="4"/>
  <c r="T38" i="4"/>
  <c r="J38" i="4"/>
  <c r="Y38" i="4" s="1"/>
  <c r="E38" i="4"/>
  <c r="AD37" i="4"/>
  <c r="AC37" i="4"/>
  <c r="AA37" i="4"/>
  <c r="Z37" i="4"/>
  <c r="X37" i="4"/>
  <c r="T37" i="4"/>
  <c r="J37" i="4"/>
  <c r="Y37" i="4" s="1"/>
  <c r="E37" i="4"/>
  <c r="AD36" i="4"/>
  <c r="AC36" i="4"/>
  <c r="AA36" i="4"/>
  <c r="Z36" i="4"/>
  <c r="X36" i="4"/>
  <c r="T36" i="4"/>
  <c r="L36" i="4"/>
  <c r="J36" i="4"/>
  <c r="Y36" i="4" s="1"/>
  <c r="E36" i="4"/>
  <c r="AD35" i="4"/>
  <c r="AC35" i="4"/>
  <c r="AA35" i="4"/>
  <c r="Z35" i="4"/>
  <c r="X35" i="4"/>
  <c r="T35" i="4"/>
  <c r="J35" i="4"/>
  <c r="Y35" i="4" s="1"/>
  <c r="E35" i="4"/>
  <c r="AC34" i="4"/>
  <c r="AD34" i="4" s="1"/>
  <c r="AA34" i="4"/>
  <c r="Z34" i="4"/>
  <c r="X34" i="4"/>
  <c r="T34" i="4"/>
  <c r="J34" i="4"/>
  <c r="Y34" i="4" s="1"/>
  <c r="E34" i="4"/>
  <c r="AI33" i="4"/>
  <c r="AH33" i="4"/>
  <c r="AD33" i="4"/>
  <c r="AC33" i="4"/>
  <c r="AA33" i="4"/>
  <c r="Z33" i="4"/>
  <c r="X33" i="4"/>
  <c r="T33" i="4"/>
  <c r="J33" i="4"/>
  <c r="Y33" i="4" s="1"/>
  <c r="E33" i="4"/>
  <c r="AI32" i="4"/>
  <c r="AH32" i="4"/>
  <c r="AD32" i="4"/>
  <c r="AC32" i="4"/>
  <c r="AA32" i="4"/>
  <c r="Z32" i="4"/>
  <c r="X32" i="4"/>
  <c r="T32" i="4"/>
  <c r="L32" i="4"/>
  <c r="J32" i="4"/>
  <c r="Y32" i="4" s="1"/>
  <c r="E32" i="4"/>
  <c r="AD31" i="4"/>
  <c r="AC31" i="4"/>
  <c r="AA31" i="4"/>
  <c r="Z31" i="4"/>
  <c r="X31" i="4"/>
  <c r="T31" i="4"/>
  <c r="J31" i="4"/>
  <c r="AE31" i="4" s="1"/>
  <c r="E31" i="4"/>
  <c r="AE30" i="4"/>
  <c r="AC30" i="4"/>
  <c r="AD30" i="4" s="1"/>
  <c r="AA30" i="4"/>
  <c r="Z30" i="4"/>
  <c r="X30" i="4"/>
  <c r="T30" i="4"/>
  <c r="J30" i="4"/>
  <c r="Y30" i="4" s="1"/>
  <c r="E30" i="4"/>
  <c r="AI29" i="4"/>
  <c r="AH29" i="4"/>
  <c r="AD29" i="4"/>
  <c r="AC29" i="4"/>
  <c r="AA29" i="4"/>
  <c r="Z29" i="4"/>
  <c r="X29" i="4"/>
  <c r="T29" i="4"/>
  <c r="J29" i="4"/>
  <c r="Y29" i="4" s="1"/>
  <c r="E29" i="4"/>
  <c r="AI28" i="4"/>
  <c r="AH28" i="4"/>
  <c r="AD28" i="4"/>
  <c r="AC28" i="4"/>
  <c r="AA28" i="4"/>
  <c r="Z28" i="4"/>
  <c r="X28" i="4"/>
  <c r="T28" i="4"/>
  <c r="J28" i="4"/>
  <c r="Y28" i="4" s="1"/>
  <c r="E28" i="4"/>
  <c r="AD27" i="4"/>
  <c r="AC27" i="4"/>
  <c r="AA27" i="4"/>
  <c r="Z27" i="4"/>
  <c r="X27" i="4"/>
  <c r="T27" i="4"/>
  <c r="J27" i="4"/>
  <c r="AE27" i="4" s="1"/>
  <c r="E27" i="4"/>
  <c r="AE26" i="4"/>
  <c r="AC26" i="4"/>
  <c r="AD26" i="4" s="1"/>
  <c r="AA26" i="4"/>
  <c r="Z26" i="4"/>
  <c r="X26" i="4"/>
  <c r="T26" i="4"/>
  <c r="J26" i="4"/>
  <c r="Y26" i="4" s="1"/>
  <c r="E26" i="4"/>
  <c r="AD25" i="4"/>
  <c r="AC25" i="4"/>
  <c r="AA25" i="4"/>
  <c r="Z25" i="4"/>
  <c r="X25" i="4"/>
  <c r="T25" i="4"/>
  <c r="J25" i="4"/>
  <c r="Y25" i="4" s="1"/>
  <c r="E25" i="4"/>
  <c r="AD24" i="4"/>
  <c r="AC24" i="4"/>
  <c r="AA24" i="4"/>
  <c r="Z24" i="4"/>
  <c r="X24" i="4"/>
  <c r="T24" i="4"/>
  <c r="J24" i="4"/>
  <c r="Y24" i="4" s="1"/>
  <c r="E24" i="4"/>
  <c r="AD23" i="4"/>
  <c r="AC23" i="4"/>
  <c r="AA23" i="4"/>
  <c r="Z23" i="4"/>
  <c r="X23" i="4"/>
  <c r="T23" i="4"/>
  <c r="J23" i="4"/>
  <c r="Y23" i="4" s="1"/>
  <c r="E23" i="4"/>
  <c r="AC22" i="4"/>
  <c r="AD22" i="4" s="1"/>
  <c r="AA22" i="4"/>
  <c r="Z22" i="4"/>
  <c r="X22" i="4"/>
  <c r="T22" i="4"/>
  <c r="J22" i="4"/>
  <c r="Y22" i="4" s="1"/>
  <c r="E22" i="4"/>
  <c r="AD21" i="4"/>
  <c r="AC21" i="4"/>
  <c r="AA21" i="4"/>
  <c r="Z21" i="4"/>
  <c r="X21" i="4"/>
  <c r="T21" i="4"/>
  <c r="J21" i="4"/>
  <c r="Y21" i="4" s="1"/>
  <c r="E21" i="4"/>
  <c r="AD20" i="4"/>
  <c r="AC20" i="4"/>
  <c r="AA20" i="4"/>
  <c r="Z20" i="4"/>
  <c r="X20" i="4"/>
  <c r="T20" i="4"/>
  <c r="J20" i="4"/>
  <c r="Y20" i="4" s="1"/>
  <c r="E20" i="4"/>
  <c r="AD19" i="4"/>
  <c r="AC19" i="4"/>
  <c r="AA19" i="4"/>
  <c r="Z19" i="4"/>
  <c r="X19" i="4"/>
  <c r="T19" i="4"/>
  <c r="J19" i="4"/>
  <c r="AE19" i="4" s="1"/>
  <c r="E19" i="4"/>
  <c r="AI18" i="4"/>
  <c r="AH18" i="4"/>
  <c r="AD18" i="4"/>
  <c r="AC18" i="4"/>
  <c r="AA18" i="4"/>
  <c r="Z18" i="4"/>
  <c r="X18" i="4"/>
  <c r="T18" i="4"/>
  <c r="J18" i="4"/>
  <c r="Y18" i="4" s="1"/>
  <c r="E18" i="4"/>
  <c r="AD17" i="4"/>
  <c r="AC17" i="4"/>
  <c r="AA17" i="4"/>
  <c r="Z17" i="4"/>
  <c r="X17" i="4"/>
  <c r="T17" i="4"/>
  <c r="J17" i="4"/>
  <c r="AE17" i="4" s="1"/>
  <c r="E17" i="4"/>
  <c r="AC16" i="4"/>
  <c r="AD16" i="4" s="1"/>
  <c r="AA16" i="4"/>
  <c r="Z16" i="4"/>
  <c r="X16" i="4"/>
  <c r="T16" i="4"/>
  <c r="L16" i="4"/>
  <c r="J16" i="4"/>
  <c r="Y16" i="4" s="1"/>
  <c r="E16" i="4"/>
  <c r="AD15" i="4"/>
  <c r="AC15" i="4"/>
  <c r="AA15" i="4"/>
  <c r="Z15" i="4"/>
  <c r="X15" i="4"/>
  <c r="T15" i="4"/>
  <c r="J15" i="4"/>
  <c r="Y15" i="4" s="1"/>
  <c r="E15" i="4"/>
  <c r="AD14" i="4"/>
  <c r="AC14" i="4"/>
  <c r="AA14" i="4"/>
  <c r="Z14" i="4"/>
  <c r="X14" i="4"/>
  <c r="T14" i="4"/>
  <c r="J14" i="4"/>
  <c r="Y14" i="4" s="1"/>
  <c r="E14" i="4"/>
  <c r="AD13" i="4"/>
  <c r="AC13" i="4"/>
  <c r="AA13" i="4"/>
  <c r="Z13" i="4"/>
  <c r="X13" i="4"/>
  <c r="T13" i="4"/>
  <c r="J13" i="4"/>
  <c r="Y13" i="4" s="1"/>
  <c r="E13" i="4"/>
  <c r="AE12" i="4"/>
  <c r="AC12" i="4"/>
  <c r="AD12" i="4" s="1"/>
  <c r="AA12" i="4"/>
  <c r="Z12" i="4"/>
  <c r="X12" i="4"/>
  <c r="T12" i="4"/>
  <c r="J12" i="4"/>
  <c r="Y12" i="4" s="1"/>
  <c r="E12" i="4"/>
  <c r="AD11" i="4"/>
  <c r="AC11" i="4"/>
  <c r="AA11" i="4"/>
  <c r="Z11" i="4"/>
  <c r="X11" i="4"/>
  <c r="T11" i="4"/>
  <c r="J11" i="4"/>
  <c r="Y11" i="4" s="1"/>
  <c r="E11" i="4"/>
  <c r="AD10" i="4"/>
  <c r="AC10" i="4"/>
  <c r="AA10" i="4"/>
  <c r="Z10" i="4"/>
  <c r="X10" i="4"/>
  <c r="T10" i="4"/>
  <c r="J10" i="4"/>
  <c r="Y10" i="4" s="1"/>
  <c r="E10" i="4"/>
  <c r="AD9" i="4"/>
  <c r="AC9" i="4"/>
  <c r="AA9" i="4"/>
  <c r="Z9" i="4"/>
  <c r="X9" i="4"/>
  <c r="T9" i="4"/>
  <c r="J9" i="4"/>
  <c r="E9" i="4"/>
  <c r="AI8" i="4"/>
  <c r="AH8" i="4"/>
  <c r="AH69" i="4" s="1"/>
  <c r="AD8" i="4"/>
  <c r="AC8" i="4"/>
  <c r="AA8" i="4"/>
  <c r="Z8" i="4"/>
  <c r="X8" i="4"/>
  <c r="T8" i="4"/>
  <c r="J8" i="4"/>
  <c r="Y8" i="4" s="1"/>
  <c r="E8" i="4"/>
  <c r="U6" i="4"/>
  <c r="AH71" i="4" s="1"/>
  <c r="S6" i="4"/>
  <c r="R6" i="4"/>
  <c r="S3" i="4" s="1"/>
  <c r="S4" i="4" s="1"/>
  <c r="P6" i="4"/>
  <c r="O6" i="4"/>
  <c r="K6" i="4"/>
  <c r="H6" i="4"/>
  <c r="G6" i="4"/>
  <c r="P4" i="4"/>
  <c r="H4" i="4"/>
  <c r="AE3" i="4"/>
  <c r="P3" i="4"/>
  <c r="H3" i="4"/>
  <c r="BN64" i="5" l="1"/>
  <c r="BG51" i="5"/>
  <c r="BI51" i="5" s="1"/>
  <c r="BH51" i="5"/>
  <c r="BJ51" i="5" s="1"/>
  <c r="BK51" i="5" s="1"/>
  <c r="BL51" i="5" s="1"/>
  <c r="BG50" i="5"/>
  <c r="BI50" i="5" s="1"/>
  <c r="BH50" i="5"/>
  <c r="U5" i="5"/>
  <c r="AA5" i="5"/>
  <c r="L10" i="4"/>
  <c r="L12" i="4"/>
  <c r="L21" i="4"/>
  <c r="L25" i="4"/>
  <c r="AE34" i="4"/>
  <c r="L38" i="4"/>
  <c r="L54" i="4"/>
  <c r="L57" i="4"/>
  <c r="L61" i="4"/>
  <c r="L8" i="4"/>
  <c r="L14" i="4"/>
  <c r="L30" i="4"/>
  <c r="L48" i="4"/>
  <c r="AE38" i="4"/>
  <c r="AE62" i="4"/>
  <c r="BF52" i="5"/>
  <c r="BG52" i="5" s="1"/>
  <c r="BM5" i="5"/>
  <c r="BN5" i="5"/>
  <c r="BN61" i="5"/>
  <c r="BM61" i="5"/>
  <c r="BN57" i="5"/>
  <c r="BM57" i="5"/>
  <c r="BN53" i="5"/>
  <c r="BM53" i="5"/>
  <c r="BN48" i="5"/>
  <c r="BM48" i="5"/>
  <c r="BN44" i="5"/>
  <c r="BM44" i="5"/>
  <c r="BN40" i="5"/>
  <c r="BM40" i="5"/>
  <c r="BN36" i="5"/>
  <c r="BM36" i="5"/>
  <c r="BN32" i="5"/>
  <c r="BM32" i="5"/>
  <c r="BN28" i="5"/>
  <c r="BM28" i="5"/>
  <c r="BN24" i="5"/>
  <c r="BM24" i="5"/>
  <c r="BN20" i="5"/>
  <c r="BM20" i="5"/>
  <c r="BN16" i="5"/>
  <c r="BM16" i="5"/>
  <c r="BN12" i="5"/>
  <c r="BM12" i="5"/>
  <c r="BN8" i="5"/>
  <c r="BM8" i="5"/>
  <c r="BM64" i="5"/>
  <c r="BM60" i="5"/>
  <c r="BN60" i="5"/>
  <c r="BM56" i="5"/>
  <c r="BN56" i="5"/>
  <c r="BM52" i="5"/>
  <c r="BN52" i="5"/>
  <c r="BM47" i="5"/>
  <c r="BN47" i="5"/>
  <c r="BM43" i="5"/>
  <c r="BN43" i="5"/>
  <c r="BM39" i="5"/>
  <c r="BN39" i="5"/>
  <c r="BM35" i="5"/>
  <c r="BN35" i="5"/>
  <c r="BM31" i="5"/>
  <c r="BN31" i="5"/>
  <c r="BM27" i="5"/>
  <c r="BN27" i="5"/>
  <c r="BM23" i="5"/>
  <c r="BN23" i="5"/>
  <c r="BM19" i="5"/>
  <c r="BN19" i="5"/>
  <c r="BM15" i="5"/>
  <c r="BN15" i="5"/>
  <c r="BM11" i="5"/>
  <c r="BN11" i="5"/>
  <c r="BM7" i="5"/>
  <c r="BN7" i="5"/>
  <c r="BN63" i="5"/>
  <c r="BM63" i="5"/>
  <c r="BM59" i="5"/>
  <c r="BN59" i="5"/>
  <c r="BN55" i="5"/>
  <c r="BM55" i="5"/>
  <c r="BM46" i="5"/>
  <c r="BN46" i="5"/>
  <c r="BN42" i="5"/>
  <c r="BM42" i="5"/>
  <c r="BM38" i="5"/>
  <c r="BN38" i="5"/>
  <c r="BM34" i="5"/>
  <c r="BN34" i="5"/>
  <c r="BN30" i="5"/>
  <c r="BM30" i="5"/>
  <c r="BM26" i="5"/>
  <c r="BN26" i="5"/>
  <c r="BM22" i="5"/>
  <c r="BN22" i="5"/>
  <c r="BN18" i="5"/>
  <c r="BM18" i="5"/>
  <c r="BM14" i="5"/>
  <c r="BN14" i="5"/>
  <c r="BM10" i="5"/>
  <c r="BN10" i="5"/>
  <c r="BN6" i="5"/>
  <c r="BM6" i="5"/>
  <c r="BN58" i="5"/>
  <c r="BM58" i="5"/>
  <c r="BN54" i="5"/>
  <c r="BM54" i="5"/>
  <c r="BN49" i="5"/>
  <c r="BM49" i="5"/>
  <c r="BN45" i="5"/>
  <c r="BM45" i="5"/>
  <c r="BN41" i="5"/>
  <c r="BM41" i="5"/>
  <c r="BN37" i="5"/>
  <c r="BM37" i="5"/>
  <c r="BN33" i="5"/>
  <c r="BM33" i="5"/>
  <c r="BN29" i="5"/>
  <c r="BM29" i="5"/>
  <c r="BN25" i="5"/>
  <c r="BM25" i="5"/>
  <c r="BN21" i="5"/>
  <c r="BM21" i="5"/>
  <c r="BN17" i="5"/>
  <c r="BM17" i="5"/>
  <c r="BN13" i="5"/>
  <c r="BM13" i="5"/>
  <c r="BN9" i="5"/>
  <c r="BM9" i="5"/>
  <c r="BE68" i="5"/>
  <c r="BE67" i="5"/>
  <c r="BF5" i="5"/>
  <c r="BG5" i="5" s="1"/>
  <c r="BF61" i="5"/>
  <c r="BG61" i="5" s="1"/>
  <c r="BF57" i="5"/>
  <c r="BG57" i="5" s="1"/>
  <c r="BI57" i="5" s="1"/>
  <c r="BF53" i="5"/>
  <c r="BG53" i="5" s="1"/>
  <c r="BF48" i="5"/>
  <c r="BG48" i="5" s="1"/>
  <c r="BI48" i="5" s="1"/>
  <c r="BF44" i="5"/>
  <c r="BG44" i="5" s="1"/>
  <c r="BF40" i="5"/>
  <c r="BG40" i="5" s="1"/>
  <c r="BF36" i="5"/>
  <c r="BG36" i="5" s="1"/>
  <c r="BF32" i="5"/>
  <c r="BG32" i="5" s="1"/>
  <c r="BF28" i="5"/>
  <c r="BG28" i="5" s="1"/>
  <c r="BF24" i="5"/>
  <c r="BG24" i="5" s="1"/>
  <c r="BF20" i="5"/>
  <c r="BG20" i="5" s="1"/>
  <c r="BF16" i="5"/>
  <c r="BG16" i="5" s="1"/>
  <c r="BF12" i="5"/>
  <c r="BG12" i="5" s="1"/>
  <c r="BF8" i="5"/>
  <c r="BG8" i="5" s="1"/>
  <c r="BF64" i="5"/>
  <c r="BG64" i="5" s="1"/>
  <c r="BF47" i="5"/>
  <c r="BG47" i="5" s="1"/>
  <c r="BI47" i="5" s="1"/>
  <c r="BF43" i="5"/>
  <c r="BG43" i="5" s="1"/>
  <c r="BF35" i="5"/>
  <c r="BG35" i="5" s="1"/>
  <c r="BF27" i="5"/>
  <c r="BG27" i="5" s="1"/>
  <c r="BI27" i="5" s="1"/>
  <c r="BF23" i="5"/>
  <c r="BG23" i="5" s="1"/>
  <c r="BF7" i="5"/>
  <c r="BG7" i="5" s="1"/>
  <c r="BI7" i="5" s="1"/>
  <c r="BF46" i="5"/>
  <c r="BG46" i="5" s="1"/>
  <c r="BI46" i="5" s="1"/>
  <c r="BF54" i="5"/>
  <c r="BG54" i="5" s="1"/>
  <c r="BF49" i="5"/>
  <c r="BG49" i="5" s="1"/>
  <c r="BF17" i="5"/>
  <c r="BG17" i="5" s="1"/>
  <c r="BF13" i="5"/>
  <c r="BG13" i="5" s="1"/>
  <c r="BI13" i="5" s="1"/>
  <c r="BF59" i="5"/>
  <c r="BG59" i="5" s="1"/>
  <c r="BE62" i="5"/>
  <c r="BE66" i="5" s="1"/>
  <c r="BC66" i="5"/>
  <c r="BD67" i="5"/>
  <c r="BD68" i="5"/>
  <c r="BD66" i="5"/>
  <c r="BC68" i="5"/>
  <c r="BB66" i="5"/>
  <c r="BC67" i="5"/>
  <c r="BB67" i="5"/>
  <c r="BF18" i="5"/>
  <c r="BG18" i="5" s="1"/>
  <c r="BI18" i="5" s="1"/>
  <c r="BF45" i="5"/>
  <c r="BG45" i="5" s="1"/>
  <c r="BF37" i="5"/>
  <c r="BG37" i="5" s="1"/>
  <c r="BF60" i="5"/>
  <c r="BG60" i="5" s="1"/>
  <c r="BF56" i="5"/>
  <c r="BG56" i="5" s="1"/>
  <c r="BF39" i="5"/>
  <c r="BG39" i="5" s="1"/>
  <c r="BF31" i="5"/>
  <c r="BG31" i="5" s="1"/>
  <c r="BF19" i="5"/>
  <c r="BG19" i="5" s="1"/>
  <c r="BI19" i="5" s="1"/>
  <c r="BF15" i="5"/>
  <c r="BG15" i="5" s="1"/>
  <c r="BF11" i="5"/>
  <c r="BG11" i="5" s="1"/>
  <c r="BF63" i="5"/>
  <c r="BG63" i="5" s="1"/>
  <c r="BF55" i="5"/>
  <c r="BG55" i="5" s="1"/>
  <c r="BI55" i="5" s="1"/>
  <c r="BF42" i="5"/>
  <c r="BG42" i="5" s="1"/>
  <c r="BF38" i="5"/>
  <c r="BG38" i="5" s="1"/>
  <c r="BF34" i="5"/>
  <c r="BG34" i="5" s="1"/>
  <c r="BF30" i="5"/>
  <c r="BG30" i="5" s="1"/>
  <c r="BF26" i="5"/>
  <c r="BG26" i="5" s="1"/>
  <c r="BF22" i="5"/>
  <c r="BG22" i="5" s="1"/>
  <c r="BF14" i="5"/>
  <c r="BG14" i="5" s="1"/>
  <c r="BF10" i="5"/>
  <c r="BG10" i="5" s="1"/>
  <c r="BF6" i="5"/>
  <c r="BG6" i="5" s="1"/>
  <c r="BF62" i="5"/>
  <c r="BG62" i="5" s="1"/>
  <c r="BF58" i="5"/>
  <c r="BG58" i="5" s="1"/>
  <c r="BF41" i="5"/>
  <c r="BG41" i="5" s="1"/>
  <c r="BF33" i="5"/>
  <c r="BG33" i="5" s="1"/>
  <c r="BF29" i="5"/>
  <c r="BF25" i="5"/>
  <c r="BG25" i="5" s="1"/>
  <c r="BF21" i="5"/>
  <c r="BG21" i="5" s="1"/>
  <c r="BF9" i="5"/>
  <c r="BG9" i="5" s="1"/>
  <c r="AT69" i="5"/>
  <c r="AX69" i="5"/>
  <c r="BB69" i="5"/>
  <c r="G69" i="5"/>
  <c r="N69" i="5"/>
  <c r="I69" i="5"/>
  <c r="E69" i="5"/>
  <c r="F69" i="5"/>
  <c r="AU69" i="5"/>
  <c r="AY69" i="5"/>
  <c r="AJ69" i="5"/>
  <c r="AV69" i="5"/>
  <c r="AZ69" i="5"/>
  <c r="P69" i="5"/>
  <c r="AS69" i="5"/>
  <c r="AW69" i="5"/>
  <c r="BA69" i="5"/>
  <c r="AE11" i="4"/>
  <c r="AE14" i="4"/>
  <c r="AE22" i="4"/>
  <c r="AE25" i="4"/>
  <c r="AE32" i="4"/>
  <c r="L45" i="4"/>
  <c r="L46" i="4"/>
  <c r="AE52" i="4"/>
  <c r="AE58" i="4"/>
  <c r="AE61" i="4"/>
  <c r="AE66" i="4"/>
  <c r="AE18" i="4"/>
  <c r="AE20" i="4"/>
  <c r="AE37" i="4"/>
  <c r="AE42" i="4"/>
  <c r="AE44" i="4"/>
  <c r="AE49" i="4"/>
  <c r="AE56" i="4"/>
  <c r="AE65" i="4"/>
  <c r="AE15" i="4"/>
  <c r="L18" i="4"/>
  <c r="L20" i="4"/>
  <c r="L22" i="4"/>
  <c r="AE24" i="4"/>
  <c r="E6" i="4"/>
  <c r="L37" i="4"/>
  <c r="AE39" i="4"/>
  <c r="L42" i="4"/>
  <c r="L44" i="4"/>
  <c r="L49" i="4"/>
  <c r="AE53" i="4"/>
  <c r="L56" i="4"/>
  <c r="L58" i="4"/>
  <c r="AE60" i="4"/>
  <c r="L65" i="4"/>
  <c r="L66" i="4"/>
  <c r="L11" i="4"/>
  <c r="AE8" i="4"/>
  <c r="AE10" i="4"/>
  <c r="L15" i="4"/>
  <c r="AE16" i="4"/>
  <c r="AE21" i="4"/>
  <c r="L24" i="4"/>
  <c r="L26" i="4"/>
  <c r="L34" i="4"/>
  <c r="AE36" i="4"/>
  <c r="L39" i="4"/>
  <c r="AE40" i="4"/>
  <c r="AE45" i="4"/>
  <c r="AE46" i="4"/>
  <c r="AE48" i="4"/>
  <c r="L53" i="4"/>
  <c r="AE54" i="4"/>
  <c r="AE57" i="4"/>
  <c r="L60" i="4"/>
  <c r="L62" i="4"/>
  <c r="AE64" i="4"/>
  <c r="AD6" i="5"/>
  <c r="L69" i="5"/>
  <c r="AR6" i="5"/>
  <c r="AI69" i="5"/>
  <c r="J69" i="5"/>
  <c r="O69" i="5"/>
  <c r="T69" i="5"/>
  <c r="AL69" i="5"/>
  <c r="D69" i="5"/>
  <c r="K69" i="5"/>
  <c r="AE6" i="5"/>
  <c r="M69" i="5"/>
  <c r="S69" i="5"/>
  <c r="H68" i="5"/>
  <c r="L68" i="5"/>
  <c r="P68" i="5"/>
  <c r="T68" i="5"/>
  <c r="AH68" i="5"/>
  <c r="AL68" i="5"/>
  <c r="AS68" i="5"/>
  <c r="AW68" i="5"/>
  <c r="BA68" i="5"/>
  <c r="E67" i="5"/>
  <c r="I67" i="5"/>
  <c r="M67" i="5"/>
  <c r="Q67" i="5"/>
  <c r="AI67" i="5"/>
  <c r="AT67" i="5"/>
  <c r="AX67" i="5"/>
  <c r="E66" i="5"/>
  <c r="I66" i="5"/>
  <c r="M66" i="5"/>
  <c r="Q66" i="5"/>
  <c r="AI66" i="5"/>
  <c r="AT66" i="5"/>
  <c r="AX66" i="5"/>
  <c r="O68" i="5"/>
  <c r="S68" i="5"/>
  <c r="AK68" i="5"/>
  <c r="AZ68" i="5"/>
  <c r="L67" i="5"/>
  <c r="AS67" i="5"/>
  <c r="D66" i="5"/>
  <c r="P66" i="5"/>
  <c r="AH66" i="5"/>
  <c r="AW66" i="5"/>
  <c r="E68" i="5"/>
  <c r="I68" i="5"/>
  <c r="M68" i="5"/>
  <c r="Q68" i="5"/>
  <c r="AI68" i="5"/>
  <c r="AT68" i="5"/>
  <c r="AX68" i="5"/>
  <c r="BB68" i="5"/>
  <c r="F67" i="5"/>
  <c r="J67" i="5"/>
  <c r="N67" i="5"/>
  <c r="R67" i="5"/>
  <c r="AF67" i="5"/>
  <c r="AJ67" i="5"/>
  <c r="AU67" i="5"/>
  <c r="AY67" i="5"/>
  <c r="F66" i="5"/>
  <c r="J66" i="5"/>
  <c r="N66" i="5"/>
  <c r="R66" i="5"/>
  <c r="AJ66" i="5"/>
  <c r="AU66" i="5"/>
  <c r="AY66" i="5"/>
  <c r="K68" i="5"/>
  <c r="AC68" i="5"/>
  <c r="D68" i="5"/>
  <c r="P67" i="5"/>
  <c r="AH67" i="5"/>
  <c r="AW67" i="5"/>
  <c r="H66" i="5"/>
  <c r="T66" i="5"/>
  <c r="AL66" i="5"/>
  <c r="BA66" i="5"/>
  <c r="F68" i="5"/>
  <c r="J68" i="5"/>
  <c r="N68" i="5"/>
  <c r="R68" i="5"/>
  <c r="AJ68" i="5"/>
  <c r="AQ68" i="5"/>
  <c r="AU68" i="5"/>
  <c r="AY68" i="5"/>
  <c r="G67" i="5"/>
  <c r="K67" i="5"/>
  <c r="O67" i="5"/>
  <c r="S67" i="5"/>
  <c r="AG67" i="5"/>
  <c r="AK67" i="5"/>
  <c r="AV67" i="5"/>
  <c r="AZ67" i="5"/>
  <c r="D67" i="5"/>
  <c r="G66" i="5"/>
  <c r="K66" i="5"/>
  <c r="O66" i="5"/>
  <c r="S66" i="5"/>
  <c r="AG66" i="5"/>
  <c r="AK66" i="5"/>
  <c r="AV66" i="5"/>
  <c r="AZ66" i="5"/>
  <c r="G68" i="5"/>
  <c r="AG68" i="5"/>
  <c r="AV68" i="5"/>
  <c r="H67" i="5"/>
  <c r="T67" i="5"/>
  <c r="AL67" i="5"/>
  <c r="BA67" i="5"/>
  <c r="L66" i="5"/>
  <c r="AS66" i="5"/>
  <c r="H69" i="5"/>
  <c r="AF6" i="5"/>
  <c r="Q69" i="5"/>
  <c r="R69" i="5"/>
  <c r="AG69" i="5"/>
  <c r="AH69" i="5"/>
  <c r="AK69" i="5"/>
  <c r="AG72" i="5"/>
  <c r="AH72" i="5"/>
  <c r="AN9" i="5"/>
  <c r="AQ9" i="5" s="1"/>
  <c r="I72" i="5"/>
  <c r="N72" i="5"/>
  <c r="AO9" i="5"/>
  <c r="AR9" i="5" s="1"/>
  <c r="T72" i="5"/>
  <c r="O72" i="5"/>
  <c r="V5" i="5"/>
  <c r="AB5" i="5" s="1"/>
  <c r="W63" i="5"/>
  <c r="AC63" i="5" s="1"/>
  <c r="W11" i="5"/>
  <c r="AC11" i="5" s="1"/>
  <c r="Z62" i="5"/>
  <c r="AF62" i="5" s="1"/>
  <c r="V62" i="5"/>
  <c r="AB62" i="5" s="1"/>
  <c r="V28" i="5"/>
  <c r="AB28" i="5" s="1"/>
  <c r="Y17" i="5"/>
  <c r="AE17" i="5" s="1"/>
  <c r="AN15" i="5"/>
  <c r="AQ15" i="5" s="1"/>
  <c r="AO60" i="5"/>
  <c r="AR60" i="5" s="1"/>
  <c r="AO39" i="5"/>
  <c r="AR39" i="5" s="1"/>
  <c r="AO14" i="5"/>
  <c r="AR14" i="5" s="1"/>
  <c r="X53" i="5"/>
  <c r="AD53" i="5" s="1"/>
  <c r="AN39" i="5"/>
  <c r="AQ39" i="5" s="1"/>
  <c r="Y11" i="5"/>
  <c r="AE11" i="5" s="1"/>
  <c r="AB33" i="5"/>
  <c r="AB68" i="5" s="1"/>
  <c r="Y56" i="5"/>
  <c r="AE56" i="5" s="1"/>
  <c r="Z53" i="5"/>
  <c r="AF53" i="5" s="1"/>
  <c r="AN60" i="5"/>
  <c r="AQ60" i="5" s="1"/>
  <c r="AN42" i="5"/>
  <c r="AQ42" i="5" s="1"/>
  <c r="AN5" i="5"/>
  <c r="AQ5" i="5" s="1"/>
  <c r="AO64" i="5"/>
  <c r="AR64" i="5" s="1"/>
  <c r="V53" i="5"/>
  <c r="AB53" i="5" s="1"/>
  <c r="V44" i="5"/>
  <c r="AB44" i="5" s="1"/>
  <c r="V21" i="5"/>
  <c r="AB21" i="5" s="1"/>
  <c r="AN11" i="5"/>
  <c r="AQ11" i="5" s="1"/>
  <c r="AO26" i="5"/>
  <c r="AR26" i="5" s="1"/>
  <c r="AR68" i="5" s="1"/>
  <c r="AN53" i="5"/>
  <c r="AQ53" i="5" s="1"/>
  <c r="X45" i="5"/>
  <c r="AD45" i="5" s="1"/>
  <c r="AO12" i="5"/>
  <c r="AR12" i="5" s="1"/>
  <c r="X37" i="5"/>
  <c r="AD37" i="5" s="1"/>
  <c r="Z28" i="5"/>
  <c r="AF28" i="5" s="1"/>
  <c r="AN61" i="5"/>
  <c r="AQ61" i="5" s="1"/>
  <c r="AN28" i="5"/>
  <c r="AQ28" i="5" s="1"/>
  <c r="AO41" i="5"/>
  <c r="AR41" i="5" s="1"/>
  <c r="W56" i="5"/>
  <c r="AC56" i="5" s="1"/>
  <c r="W28" i="5"/>
  <c r="AC28" i="5" s="1"/>
  <c r="W6" i="5"/>
  <c r="AC6" i="5" s="1"/>
  <c r="X59" i="5"/>
  <c r="AD59" i="5" s="1"/>
  <c r="Y48" i="5"/>
  <c r="AE48" i="5" s="1"/>
  <c r="V56" i="5"/>
  <c r="AB56" i="5" s="1"/>
  <c r="Z41" i="5"/>
  <c r="AF41" i="5" s="1"/>
  <c r="V11" i="5"/>
  <c r="AB11" i="5" s="1"/>
  <c r="W44" i="5"/>
  <c r="AC44" i="5" s="1"/>
  <c r="Y61" i="5"/>
  <c r="AE61" i="5" s="1"/>
  <c r="Y28" i="5"/>
  <c r="AE28" i="5" s="1"/>
  <c r="Z27" i="5"/>
  <c r="AF27" i="5" s="1"/>
  <c r="AF68" i="5" s="1"/>
  <c r="V16" i="5"/>
  <c r="AB16" i="5" s="1"/>
  <c r="V6" i="5"/>
  <c r="AB6" i="5" s="1"/>
  <c r="X56" i="5"/>
  <c r="AD56" i="5" s="1"/>
  <c r="X13" i="5"/>
  <c r="AD13" i="5" s="1"/>
  <c r="Y20" i="5"/>
  <c r="AE20" i="5" s="1"/>
  <c r="V42" i="5"/>
  <c r="AB42" i="5" s="1"/>
  <c r="Z42" i="5"/>
  <c r="AF42" i="5" s="1"/>
  <c r="Y42" i="5"/>
  <c r="AE42" i="5" s="1"/>
  <c r="Y34" i="5"/>
  <c r="AE34" i="5" s="1"/>
  <c r="U7" i="5"/>
  <c r="AA7" i="5" s="1"/>
  <c r="X28" i="5"/>
  <c r="AD28" i="5" s="1"/>
  <c r="AM62" i="5"/>
  <c r="AP62" i="5" s="1"/>
  <c r="AM58" i="5"/>
  <c r="AP58" i="5" s="1"/>
  <c r="AM54" i="5"/>
  <c r="AP54" i="5" s="1"/>
  <c r="AM49" i="5"/>
  <c r="AP49" i="5" s="1"/>
  <c r="BI49" i="5" s="1"/>
  <c r="AM45" i="5"/>
  <c r="AP45" i="5" s="1"/>
  <c r="AM41" i="5"/>
  <c r="AP41" i="5" s="1"/>
  <c r="AM37" i="5"/>
  <c r="AP37" i="5" s="1"/>
  <c r="AM33" i="5"/>
  <c r="AP33" i="5" s="1"/>
  <c r="AM29" i="5"/>
  <c r="AP29" i="5" s="1"/>
  <c r="AM25" i="5"/>
  <c r="AP25" i="5" s="1"/>
  <c r="AM21" i="5"/>
  <c r="AP21" i="5" s="1"/>
  <c r="AM17" i="5"/>
  <c r="AP17" i="5" s="1"/>
  <c r="AM9" i="5"/>
  <c r="AP9" i="5" s="1"/>
  <c r="AM61" i="5"/>
  <c r="AP61" i="5" s="1"/>
  <c r="AM53" i="5"/>
  <c r="AP53" i="5" s="1"/>
  <c r="AM44" i="5"/>
  <c r="AP44" i="5" s="1"/>
  <c r="AM36" i="5"/>
  <c r="AP36" i="5" s="1"/>
  <c r="AM28" i="5"/>
  <c r="AP28" i="5" s="1"/>
  <c r="AM20" i="5"/>
  <c r="AP20" i="5" s="1"/>
  <c r="AM12" i="5"/>
  <c r="AP12" i="5" s="1"/>
  <c r="AM5" i="5"/>
  <c r="AP5" i="5" s="1"/>
  <c r="AM60" i="5"/>
  <c r="AP60" i="5" s="1"/>
  <c r="AM56" i="5"/>
  <c r="AP56" i="5" s="1"/>
  <c r="AM52" i="5"/>
  <c r="AP52" i="5" s="1"/>
  <c r="AM43" i="5"/>
  <c r="AP43" i="5" s="1"/>
  <c r="AM39" i="5"/>
  <c r="AP39" i="5" s="1"/>
  <c r="AM35" i="5"/>
  <c r="AP35" i="5" s="1"/>
  <c r="AM31" i="5"/>
  <c r="AP31" i="5" s="1"/>
  <c r="BI31" i="5" s="1"/>
  <c r="AM23" i="5"/>
  <c r="AP23" i="5" s="1"/>
  <c r="AM15" i="5"/>
  <c r="AP15" i="5" s="1"/>
  <c r="AM11" i="5"/>
  <c r="AP11" i="5" s="1"/>
  <c r="AM40" i="5"/>
  <c r="AP40" i="5" s="1"/>
  <c r="AM32" i="5"/>
  <c r="AP32" i="5" s="1"/>
  <c r="AM24" i="5"/>
  <c r="AP24" i="5" s="1"/>
  <c r="AM16" i="5"/>
  <c r="AP16" i="5" s="1"/>
  <c r="BI16" i="5" s="1"/>
  <c r="AM8" i="5"/>
  <c r="AP8" i="5" s="1"/>
  <c r="AM63" i="5"/>
  <c r="AP63" i="5" s="1"/>
  <c r="AM59" i="5"/>
  <c r="AP59" i="5" s="1"/>
  <c r="AM42" i="5"/>
  <c r="AP42" i="5" s="1"/>
  <c r="AM38" i="5"/>
  <c r="AP38" i="5" s="1"/>
  <c r="AM34" i="5"/>
  <c r="AP34" i="5" s="1"/>
  <c r="AM30" i="5"/>
  <c r="AP30" i="5" s="1"/>
  <c r="AM26" i="5"/>
  <c r="AP26" i="5" s="1"/>
  <c r="AM22" i="5"/>
  <c r="AP22" i="5" s="1"/>
  <c r="AM14" i="5"/>
  <c r="AP14" i="5" s="1"/>
  <c r="AM10" i="5"/>
  <c r="AP10" i="5" s="1"/>
  <c r="AM6" i="5"/>
  <c r="AP6" i="5" s="1"/>
  <c r="U54" i="5"/>
  <c r="AA54" i="5" s="1"/>
  <c r="U62" i="5"/>
  <c r="AA62" i="5" s="1"/>
  <c r="U63" i="5"/>
  <c r="AA63" i="5" s="1"/>
  <c r="U59" i="5"/>
  <c r="AA59" i="5" s="1"/>
  <c r="U55" i="5"/>
  <c r="AA55" i="5" s="1"/>
  <c r="BH55" i="5" s="1"/>
  <c r="BJ55" i="5" s="1"/>
  <c r="BK55" i="5" s="1"/>
  <c r="BL55" i="5" s="1"/>
  <c r="U46" i="5"/>
  <c r="AA46" i="5" s="1"/>
  <c r="U42" i="5"/>
  <c r="AA42" i="5" s="1"/>
  <c r="U38" i="5"/>
  <c r="AA38" i="5" s="1"/>
  <c r="U34" i="5"/>
  <c r="AA34" i="5" s="1"/>
  <c r="U30" i="5"/>
  <c r="AA30" i="5" s="1"/>
  <c r="U26" i="5"/>
  <c r="AA26" i="5" s="1"/>
  <c r="U22" i="5"/>
  <c r="AA22" i="5" s="1"/>
  <c r="U18" i="5"/>
  <c r="AA18" i="5" s="1"/>
  <c r="U14" i="5"/>
  <c r="AA14" i="5" s="1"/>
  <c r="U10" i="5"/>
  <c r="AA10" i="5" s="1"/>
  <c r="U6" i="5"/>
  <c r="AA6" i="5" s="1"/>
  <c r="U58" i="5"/>
  <c r="AA58" i="5" s="1"/>
  <c r="U49" i="5"/>
  <c r="AA49" i="5" s="1"/>
  <c r="U45" i="5"/>
  <c r="AA45" i="5" s="1"/>
  <c r="U41" i="5"/>
  <c r="AA41" i="5" s="1"/>
  <c r="U33" i="5"/>
  <c r="AA33" i="5" s="1"/>
  <c r="U25" i="5"/>
  <c r="AA25" i="5" s="1"/>
  <c r="U17" i="5"/>
  <c r="AA17" i="5" s="1"/>
  <c r="U9" i="5"/>
  <c r="AA9" i="5" s="1"/>
  <c r="U61" i="5"/>
  <c r="AA61" i="5" s="1"/>
  <c r="U57" i="5"/>
  <c r="AA57" i="5" s="1"/>
  <c r="U53" i="5"/>
  <c r="AA53" i="5" s="1"/>
  <c r="U48" i="5"/>
  <c r="AA48" i="5" s="1"/>
  <c r="U44" i="5"/>
  <c r="AA44" i="5" s="1"/>
  <c r="U40" i="5"/>
  <c r="AA40" i="5" s="1"/>
  <c r="U32" i="5"/>
  <c r="AA32" i="5" s="1"/>
  <c r="U28" i="5"/>
  <c r="AA28" i="5" s="1"/>
  <c r="U24" i="5"/>
  <c r="AA24" i="5" s="1"/>
  <c r="U20" i="5"/>
  <c r="AA20" i="5" s="1"/>
  <c r="U16" i="5"/>
  <c r="AA16" i="5" s="1"/>
  <c r="U8" i="5"/>
  <c r="AA8" i="5" s="1"/>
  <c r="U60" i="5"/>
  <c r="AA60" i="5" s="1"/>
  <c r="U56" i="5"/>
  <c r="AA56" i="5" s="1"/>
  <c r="U52" i="5"/>
  <c r="AA52" i="5" s="1"/>
  <c r="U47" i="5"/>
  <c r="AA47" i="5" s="1"/>
  <c r="BH47" i="5" s="1"/>
  <c r="BJ47" i="5" s="1"/>
  <c r="BK47" i="5" s="1"/>
  <c r="BL47" i="5" s="1"/>
  <c r="U43" i="5"/>
  <c r="AA43" i="5" s="1"/>
  <c r="BH43" i="5" s="1"/>
  <c r="U39" i="5"/>
  <c r="AA39" i="5" s="1"/>
  <c r="U31" i="5"/>
  <c r="AA31" i="5" s="1"/>
  <c r="U27" i="5"/>
  <c r="AA27" i="5" s="1"/>
  <c r="U23" i="5"/>
  <c r="AA23" i="5" s="1"/>
  <c r="BH23" i="5" s="1"/>
  <c r="U19" i="5"/>
  <c r="AA19" i="5" s="1"/>
  <c r="U15" i="5"/>
  <c r="AA15" i="5" s="1"/>
  <c r="U11" i="5"/>
  <c r="AA11" i="5" s="1"/>
  <c r="J6" i="4"/>
  <c r="K3" i="4" s="1"/>
  <c r="K4" i="4" s="1"/>
  <c r="AE28" i="4"/>
  <c r="L28" i="4"/>
  <c r="AD69" i="4"/>
  <c r="AI71" i="4"/>
  <c r="AI69" i="4"/>
  <c r="Y17" i="4"/>
  <c r="Y19" i="4"/>
  <c r="Y27" i="4"/>
  <c r="Y31" i="4"/>
  <c r="Y41" i="4"/>
  <c r="Y47" i="4"/>
  <c r="Y51" i="4"/>
  <c r="Y59" i="4"/>
  <c r="AD70" i="4"/>
  <c r="L9" i="4"/>
  <c r="AE9" i="4"/>
  <c r="L13" i="4"/>
  <c r="AE13" i="4"/>
  <c r="L17" i="4"/>
  <c r="L19" i="4"/>
  <c r="L23" i="4"/>
  <c r="AE23" i="4"/>
  <c r="L27" i="4"/>
  <c r="L29" i="4"/>
  <c r="AE29" i="4"/>
  <c r="L31" i="4"/>
  <c r="L33" i="4"/>
  <c r="AE33" i="4"/>
  <c r="L35" i="4"/>
  <c r="AE35" i="4"/>
  <c r="L41" i="4"/>
  <c r="L43" i="4"/>
  <c r="AE43" i="4"/>
  <c r="L47" i="4"/>
  <c r="L51" i="4"/>
  <c r="L55" i="4"/>
  <c r="AE55" i="4"/>
  <c r="L59" i="4"/>
  <c r="L63" i="4"/>
  <c r="AE63" i="4"/>
  <c r="Y9" i="4"/>
  <c r="Y67" i="4"/>
  <c r="L67" i="4"/>
  <c r="BH39" i="5" l="1"/>
  <c r="BH49" i="5"/>
  <c r="BI63" i="5"/>
  <c r="BI32" i="5"/>
  <c r="BJ32" i="5" s="1"/>
  <c r="BK32" i="5" s="1"/>
  <c r="BL32" i="5" s="1"/>
  <c r="BI23" i="5"/>
  <c r="BH31" i="5"/>
  <c r="BH32" i="5"/>
  <c r="BJ50" i="5"/>
  <c r="BK50" i="5" s="1"/>
  <c r="BL50" i="5" s="1"/>
  <c r="AA67" i="5"/>
  <c r="AA66" i="5"/>
  <c r="AB78" i="5"/>
  <c r="BI37" i="5"/>
  <c r="BJ31" i="5"/>
  <c r="BK31" i="5" s="1"/>
  <c r="BL31" i="5" s="1"/>
  <c r="BI59" i="5"/>
  <c r="BI15" i="5"/>
  <c r="BN67" i="5"/>
  <c r="BH40" i="5"/>
  <c r="BH57" i="5"/>
  <c r="BJ57" i="5" s="1"/>
  <c r="BK57" i="5" s="1"/>
  <c r="BL57" i="5" s="1"/>
  <c r="BH46" i="5"/>
  <c r="BJ46" i="5" s="1"/>
  <c r="BK46" i="5" s="1"/>
  <c r="BL46" i="5" s="1"/>
  <c r="BI35" i="5"/>
  <c r="BH35" i="5"/>
  <c r="BI34" i="5"/>
  <c r="BH41" i="5"/>
  <c r="BJ49" i="5"/>
  <c r="BK49" i="5" s="1"/>
  <c r="BL49" i="5" s="1"/>
  <c r="BJ23" i="5"/>
  <c r="BK23" i="5" s="1"/>
  <c r="BL23" i="5" s="1"/>
  <c r="BI24" i="5"/>
  <c r="BH24" i="5"/>
  <c r="BH8" i="5"/>
  <c r="BI8" i="5"/>
  <c r="BI40" i="5"/>
  <c r="BN66" i="5"/>
  <c r="BM68" i="5"/>
  <c r="BN68" i="5"/>
  <c r="BI12" i="5"/>
  <c r="BI44" i="5"/>
  <c r="BI17" i="5"/>
  <c r="BM62" i="5"/>
  <c r="BI43" i="5"/>
  <c r="BJ43" i="5" s="1"/>
  <c r="BK43" i="5" s="1"/>
  <c r="BL43" i="5" s="1"/>
  <c r="BH7" i="5"/>
  <c r="BJ7" i="5" s="1"/>
  <c r="BK7" i="5" s="1"/>
  <c r="BL7" i="5" s="1"/>
  <c r="BI36" i="5"/>
  <c r="BN62" i="5"/>
  <c r="BH27" i="5"/>
  <c r="BJ27" i="5" s="1"/>
  <c r="BK27" i="5" s="1"/>
  <c r="BL27" i="5" s="1"/>
  <c r="BM67" i="5"/>
  <c r="BM66" i="5"/>
  <c r="BH54" i="5"/>
  <c r="BI20" i="5"/>
  <c r="BI54" i="5"/>
  <c r="BI64" i="5"/>
  <c r="BH64" i="5"/>
  <c r="BH36" i="5"/>
  <c r="BH12" i="5"/>
  <c r="BE69" i="5"/>
  <c r="BM69" i="5" s="1"/>
  <c r="BI5" i="5"/>
  <c r="BH11" i="5"/>
  <c r="BH28" i="5"/>
  <c r="BH9" i="5"/>
  <c r="BH6" i="5"/>
  <c r="BH38" i="5"/>
  <c r="BI22" i="5"/>
  <c r="BI9" i="5"/>
  <c r="BI45" i="5"/>
  <c r="BI62" i="5"/>
  <c r="BH61" i="5"/>
  <c r="BH62" i="5"/>
  <c r="BH48" i="5"/>
  <c r="BJ48" i="5" s="1"/>
  <c r="BK48" i="5" s="1"/>
  <c r="BL48" i="5" s="1"/>
  <c r="BH22" i="5"/>
  <c r="BI38" i="5"/>
  <c r="BH37" i="5"/>
  <c r="BH15" i="5"/>
  <c r="BH52" i="5"/>
  <c r="BH16" i="5"/>
  <c r="BJ16" i="5" s="1"/>
  <c r="BK16" i="5" s="1"/>
  <c r="BL16" i="5" s="1"/>
  <c r="BH53" i="5"/>
  <c r="BH45" i="5"/>
  <c r="BJ45" i="5" s="1"/>
  <c r="BK45" i="5" s="1"/>
  <c r="BL45" i="5" s="1"/>
  <c r="BH26" i="5"/>
  <c r="BI6" i="5"/>
  <c r="BI52" i="5"/>
  <c r="BI33" i="5"/>
  <c r="BH20" i="5"/>
  <c r="BJ20" i="5" s="1"/>
  <c r="BK20" i="5" s="1"/>
  <c r="BL20" i="5" s="1"/>
  <c r="BI53" i="5"/>
  <c r="BH10" i="5"/>
  <c r="BH56" i="5"/>
  <c r="BH25" i="5"/>
  <c r="BH14" i="5"/>
  <c r="BH30" i="5"/>
  <c r="BH63" i="5"/>
  <c r="BI10" i="5"/>
  <c r="BI30" i="5"/>
  <c r="BI11" i="5"/>
  <c r="BI56" i="5"/>
  <c r="BI21" i="5"/>
  <c r="BH5" i="5"/>
  <c r="BH19" i="5"/>
  <c r="BJ19" i="5" s="1"/>
  <c r="BK19" i="5" s="1"/>
  <c r="BL19" i="5" s="1"/>
  <c r="BH60" i="5"/>
  <c r="BH58" i="5"/>
  <c r="BH18" i="5"/>
  <c r="BJ18" i="5" s="1"/>
  <c r="BK18" i="5" s="1"/>
  <c r="BL18" i="5" s="1"/>
  <c r="BH34" i="5"/>
  <c r="BJ34" i="5" s="1"/>
  <c r="BK34" i="5" s="1"/>
  <c r="BL34" i="5" s="1"/>
  <c r="BI39" i="5"/>
  <c r="BJ39" i="5" s="1"/>
  <c r="BK39" i="5" s="1"/>
  <c r="BL39" i="5" s="1"/>
  <c r="BI60" i="5"/>
  <c r="BI28" i="5"/>
  <c r="BI25" i="5"/>
  <c r="BI58" i="5"/>
  <c r="BH21" i="5"/>
  <c r="AD67" i="5"/>
  <c r="AD77" i="5" s="1"/>
  <c r="BH13" i="5"/>
  <c r="BJ13" i="5" s="1"/>
  <c r="BK13" i="5" s="1"/>
  <c r="BL13" i="5" s="1"/>
  <c r="BG29" i="5"/>
  <c r="BI29" i="5" s="1"/>
  <c r="BH29" i="5"/>
  <c r="BH44" i="5"/>
  <c r="BH33" i="5"/>
  <c r="BI14" i="5"/>
  <c r="BI61" i="5"/>
  <c r="BI41" i="5"/>
  <c r="BH17" i="5"/>
  <c r="BH42" i="5"/>
  <c r="BH59" i="5"/>
  <c r="BI26" i="5"/>
  <c r="BI42" i="5"/>
  <c r="BF66" i="5"/>
  <c r="B70" i="7" s="1"/>
  <c r="C70" i="7" s="1"/>
  <c r="C26" i="7"/>
  <c r="BD69" i="5"/>
  <c r="AR67" i="5"/>
  <c r="AR77" i="5" s="1"/>
  <c r="BF67" i="5"/>
  <c r="B71" i="7" s="1"/>
  <c r="C71" i="7" s="1"/>
  <c r="BC69" i="5"/>
  <c r="BF68" i="5"/>
  <c r="B72" i="7" s="1"/>
  <c r="C72" i="7" s="1"/>
  <c r="BF69" i="5"/>
  <c r="C28" i="7"/>
  <c r="C19" i="7"/>
  <c r="C31" i="7"/>
  <c r="C23" i="7"/>
  <c r="C63" i="7"/>
  <c r="U67" i="5"/>
  <c r="C35" i="7" s="1"/>
  <c r="C11" i="7"/>
  <c r="C22" i="7"/>
  <c r="C32" i="7"/>
  <c r="AB67" i="5"/>
  <c r="AB77" i="5" s="1"/>
  <c r="C30" i="7"/>
  <c r="U68" i="5"/>
  <c r="C36" i="7" s="1"/>
  <c r="C12" i="7"/>
  <c r="C15" i="7"/>
  <c r="AM67" i="5"/>
  <c r="C39" i="7" s="1"/>
  <c r="C24" i="7"/>
  <c r="U69" i="5"/>
  <c r="C37" i="7" s="1"/>
  <c r="C27" i="7"/>
  <c r="C16" i="7"/>
  <c r="AM68" i="5"/>
  <c r="C40" i="7" s="1"/>
  <c r="C20" i="7"/>
  <c r="C18" i="7"/>
  <c r="U66" i="5"/>
  <c r="C34" i="7" s="1"/>
  <c r="C10" i="7"/>
  <c r="C14" i="7"/>
  <c r="AM66" i="5"/>
  <c r="C38" i="7" s="1"/>
  <c r="AM69" i="5"/>
  <c r="C41" i="7" s="1"/>
  <c r="AF78" i="5"/>
  <c r="AC78" i="5"/>
  <c r="AF77" i="5"/>
  <c r="AD66" i="5"/>
  <c r="AD76" i="5" s="1"/>
  <c r="AE66" i="5"/>
  <c r="AE76" i="5" s="1"/>
  <c r="AE68" i="5"/>
  <c r="AE78" i="5" s="1"/>
  <c r="AQ67" i="5"/>
  <c r="AQ77" i="5" s="1"/>
  <c r="AC67" i="5"/>
  <c r="AC77" i="5" s="1"/>
  <c r="AQ78" i="5"/>
  <c r="AE67" i="5"/>
  <c r="AE77" i="5" s="1"/>
  <c r="AD68" i="5"/>
  <c r="AD78" i="5" s="1"/>
  <c r="I73" i="5"/>
  <c r="J72" i="5"/>
  <c r="AA68" i="5"/>
  <c r="AP67" i="5"/>
  <c r="AP68" i="5"/>
  <c r="AC69" i="5"/>
  <c r="AR78" i="5"/>
  <c r="AB66" i="5"/>
  <c r="AB76" i="5" s="1"/>
  <c r="AR66" i="5"/>
  <c r="AR76" i="5" s="1"/>
  <c r="AE69" i="4"/>
  <c r="AE70" i="4"/>
  <c r="AQ69" i="5"/>
  <c r="AC66" i="5"/>
  <c r="AC76" i="5" s="1"/>
  <c r="AE69" i="5"/>
  <c r="AR69" i="5"/>
  <c r="AP69" i="5"/>
  <c r="AQ66" i="5"/>
  <c r="AQ76" i="5" s="1"/>
  <c r="AP66" i="5"/>
  <c r="AB69" i="5"/>
  <c r="AD69" i="5"/>
  <c r="AA69" i="5"/>
  <c r="AF69" i="5"/>
  <c r="AF66" i="5"/>
  <c r="AF76" i="5" s="1"/>
  <c r="AI72" i="5"/>
  <c r="AP72" i="5"/>
  <c r="AQ72" i="5"/>
  <c r="AQ73" i="5" s="1"/>
  <c r="P72" i="5"/>
  <c r="AA72" i="5"/>
  <c r="AF71" i="5"/>
  <c r="AF72" i="5" s="1"/>
  <c r="BJ63" i="5" l="1"/>
  <c r="BK63" i="5" s="1"/>
  <c r="BL63" i="5" s="1"/>
  <c r="BJ40" i="5"/>
  <c r="BK40" i="5" s="1"/>
  <c r="BL40" i="5" s="1"/>
  <c r="BJ15" i="5"/>
  <c r="BK15" i="5" s="1"/>
  <c r="BL15" i="5" s="1"/>
  <c r="BJ35" i="5"/>
  <c r="BK35" i="5" s="1"/>
  <c r="BL35" i="5" s="1"/>
  <c r="BJ37" i="5"/>
  <c r="BK37" i="5" s="1"/>
  <c r="BL37" i="5" s="1"/>
  <c r="BJ41" i="5"/>
  <c r="BK41" i="5" s="1"/>
  <c r="BL41" i="5" s="1"/>
  <c r="BJ59" i="5"/>
  <c r="BK59" i="5" s="1"/>
  <c r="BL59" i="5" s="1"/>
  <c r="BJ24" i="5"/>
  <c r="BK24" i="5" s="1"/>
  <c r="BL24" i="5" s="1"/>
  <c r="BJ36" i="5"/>
  <c r="BK36" i="5" s="1"/>
  <c r="BL36" i="5" s="1"/>
  <c r="BJ8" i="5"/>
  <c r="BK8" i="5" s="1"/>
  <c r="BL8" i="5" s="1"/>
  <c r="BJ17" i="5"/>
  <c r="BK17" i="5" s="1"/>
  <c r="BL17" i="5" s="1"/>
  <c r="BJ60" i="5"/>
  <c r="BK60" i="5" s="1"/>
  <c r="BL60" i="5" s="1"/>
  <c r="BJ52" i="5"/>
  <c r="BK52" i="5" s="1"/>
  <c r="BL52" i="5" s="1"/>
  <c r="BN69" i="5"/>
  <c r="BJ64" i="5"/>
  <c r="BK64" i="5" s="1"/>
  <c r="BL64" i="5" s="1"/>
  <c r="BJ44" i="5"/>
  <c r="BK44" i="5" s="1"/>
  <c r="BL44" i="5" s="1"/>
  <c r="BJ12" i="5"/>
  <c r="BK12" i="5" s="1"/>
  <c r="BL12" i="5" s="1"/>
  <c r="BJ5" i="5"/>
  <c r="BJ54" i="5"/>
  <c r="BK54" i="5" s="1"/>
  <c r="BL54" i="5" s="1"/>
  <c r="BJ33" i="5"/>
  <c r="BK33" i="5" s="1"/>
  <c r="BL33" i="5" s="1"/>
  <c r="BJ42" i="5"/>
  <c r="BK42" i="5" s="1"/>
  <c r="BL42" i="5" s="1"/>
  <c r="BJ58" i="5"/>
  <c r="BK58" i="5" s="1"/>
  <c r="BL58" i="5" s="1"/>
  <c r="BJ14" i="5"/>
  <c r="BK14" i="5" s="1"/>
  <c r="BL14" i="5" s="1"/>
  <c r="BJ61" i="5"/>
  <c r="BK61" i="5" s="1"/>
  <c r="BL61" i="5" s="1"/>
  <c r="BJ28" i="5"/>
  <c r="BK28" i="5" s="1"/>
  <c r="BL28" i="5" s="1"/>
  <c r="BJ25" i="5"/>
  <c r="BK25" i="5" s="1"/>
  <c r="BL25" i="5" s="1"/>
  <c r="BJ26" i="5"/>
  <c r="BK26" i="5" s="1"/>
  <c r="BL26" i="5" s="1"/>
  <c r="BJ22" i="5"/>
  <c r="BK22" i="5" s="1"/>
  <c r="BL22" i="5" s="1"/>
  <c r="BJ38" i="5"/>
  <c r="BK38" i="5" s="1"/>
  <c r="BL38" i="5" s="1"/>
  <c r="BJ11" i="5"/>
  <c r="BJ56" i="5"/>
  <c r="BK56" i="5" s="1"/>
  <c r="BL56" i="5" s="1"/>
  <c r="BJ6" i="5"/>
  <c r="BK6" i="5" s="1"/>
  <c r="BL6" i="5" s="1"/>
  <c r="BI69" i="5"/>
  <c r="BJ29" i="5"/>
  <c r="BK29" i="5" s="1"/>
  <c r="BL29" i="5" s="1"/>
  <c r="BJ21" i="5"/>
  <c r="BK21" i="5" s="1"/>
  <c r="BL21" i="5" s="1"/>
  <c r="BJ30" i="5"/>
  <c r="BK30" i="5" s="1"/>
  <c r="BL30" i="5" s="1"/>
  <c r="BJ10" i="5"/>
  <c r="BK10" i="5" s="1"/>
  <c r="BL10" i="5" s="1"/>
  <c r="BJ53" i="5"/>
  <c r="BK53" i="5" s="1"/>
  <c r="BL53" i="5" s="1"/>
  <c r="BJ62" i="5"/>
  <c r="BK62" i="5" s="1"/>
  <c r="BL62" i="5" s="1"/>
  <c r="BJ9" i="5"/>
  <c r="BK9" i="5" s="1"/>
  <c r="BL9" i="5" s="1"/>
  <c r="BH69" i="5"/>
  <c r="C29" i="7"/>
  <c r="C13" i="7"/>
  <c r="C21" i="7"/>
  <c r="C33" i="7"/>
  <c r="AP78" i="5"/>
  <c r="C48" i="7"/>
  <c r="AA76" i="5"/>
  <c r="C42" i="7"/>
  <c r="AP77" i="5"/>
  <c r="C47" i="7"/>
  <c r="AA77" i="5"/>
  <c r="C43" i="7"/>
  <c r="AP76" i="5"/>
  <c r="C46" i="7"/>
  <c r="AA78" i="5"/>
  <c r="C44" i="7"/>
  <c r="C17" i="7"/>
  <c r="C25" i="7"/>
  <c r="AP73" i="5"/>
  <c r="AR72" i="5"/>
  <c r="AR73" i="5" s="1"/>
  <c r="AA73" i="5"/>
  <c r="AB71" i="5"/>
  <c r="BJ68" i="5" l="1"/>
  <c r="BK68" i="5" s="1"/>
  <c r="BL68" i="5" s="1"/>
  <c r="BK11" i="5"/>
  <c r="BL11" i="5" s="1"/>
  <c r="BJ67" i="5"/>
  <c r="BK67" i="5" s="1"/>
  <c r="BL67" i="5" s="1"/>
  <c r="BK5" i="5"/>
  <c r="BL5" i="5" s="1"/>
  <c r="BJ66" i="5"/>
  <c r="C45" i="7"/>
  <c r="C49" i="7"/>
  <c r="BJ69" i="5" l="1"/>
  <c r="BK69" i="5" s="1"/>
  <c r="BL69" i="5" s="1"/>
  <c r="BK66" i="5"/>
  <c r="BL6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tc={F281D3AF-CEA8-488E-9F08-F9F6D57D0CE1}</author>
  </authors>
  <commentList>
    <comment ref="A28" authorId="0" shapeId="0" xr:uid="{F281D3AF-CEA8-488E-9F08-F9F6D57D0C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EG FINESS RAA = 310018676
Réponse :
    EG FINESS RAA : 310780895</t>
      </text>
    </comment>
  </commentList>
</comments>
</file>

<file path=xl/sharedStrings.xml><?xml version="1.0" encoding="utf-8"?>
<sst xmlns="http://schemas.openxmlformats.org/spreadsheetml/2006/main" count="7956" uniqueCount="526">
  <si>
    <t>BOR</t>
  </si>
  <si>
    <t>AN</t>
  </si>
  <si>
    <t>FI</t>
  </si>
  <si>
    <t>RS</t>
  </si>
  <si>
    <t>FI_EJ</t>
  </si>
  <si>
    <t>DIS</t>
  </si>
  <si>
    <t>PART</t>
  </si>
  <si>
    <t>NB_SECT</t>
  </si>
  <si>
    <t>NB_DIF</t>
  </si>
  <si>
    <t>INT</t>
  </si>
  <si>
    <t>CAP_HTP</t>
  </si>
  <si>
    <t>CAP_PFT</t>
  </si>
  <si>
    <t>CAP_AAT</t>
  </si>
  <si>
    <t>CAP_ACP</t>
  </si>
  <si>
    <t>CAP_CCU</t>
  </si>
  <si>
    <t>CAP_HAD</t>
  </si>
  <si>
    <t>JLI_HTP</t>
  </si>
  <si>
    <t>CAP_HDJ</t>
  </si>
  <si>
    <t>CAP_HDN</t>
  </si>
  <si>
    <t>NB_AT</t>
  </si>
  <si>
    <t>SEJ_HTP</t>
  </si>
  <si>
    <t>JOU_HTP</t>
  </si>
  <si>
    <t>JOU_PFT</t>
  </si>
  <si>
    <t>JOU_AAT</t>
  </si>
  <si>
    <t>JOU_ACP</t>
  </si>
  <si>
    <t>JOU_CCU</t>
  </si>
  <si>
    <t>JOU_HAD</t>
  </si>
  <si>
    <t>VEN_HDJ</t>
  </si>
  <si>
    <t>VEN_HDN</t>
  </si>
  <si>
    <t>VEN_AT</t>
  </si>
  <si>
    <t>NB_CMP_SEUL</t>
  </si>
  <si>
    <t>NB_CONSULT_SEUL</t>
  </si>
  <si>
    <t>NB_CATTP</t>
  </si>
  <si>
    <t>ACT_CMP_SEUL</t>
  </si>
  <si>
    <t>ACT_CONSULT_SEUL</t>
  </si>
  <si>
    <t>ACT_CATTP</t>
  </si>
  <si>
    <t>ACT_AD</t>
  </si>
  <si>
    <t>ACT_EMS</t>
  </si>
  <si>
    <t>ACT_UHS</t>
  </si>
  <si>
    <t>ACT_EME</t>
  </si>
  <si>
    <t>FIL_TOT</t>
  </si>
  <si>
    <t>FIL_AMB</t>
  </si>
  <si>
    <t>EFFLIB_PKT</t>
  </si>
  <si>
    <t>ETPSAL_PKT</t>
  </si>
  <si>
    <t>EFFLIB_MED</t>
  </si>
  <si>
    <t>ETPSAL_MED</t>
  </si>
  <si>
    <t>GAR_SEN</t>
  </si>
  <si>
    <t>AST_SEN</t>
  </si>
  <si>
    <t>EFFLIB_PNM</t>
  </si>
  <si>
    <t>ETPSAL_PNM</t>
  </si>
  <si>
    <t>ETP_INF</t>
  </si>
  <si>
    <t>ETP_AID</t>
  </si>
  <si>
    <t>ETP_PSY</t>
  </si>
  <si>
    <t>ETP_REE</t>
  </si>
  <si>
    <t>ETP_EDU</t>
  </si>
  <si>
    <t>PSY</t>
  </si>
  <si>
    <t>2023</t>
  </si>
  <si>
    <t>GEN</t>
  </si>
  <si>
    <t/>
  </si>
  <si>
    <t>INF</t>
  </si>
  <si>
    <t>PEN</t>
  </si>
  <si>
    <t>TOT</t>
  </si>
  <si>
    <t>750005068</t>
  </si>
  <si>
    <t>630786754</t>
  </si>
  <si>
    <t>090000183</t>
  </si>
  <si>
    <t>CH ARIEGE COUSERANS SITE ST LIZIER</t>
  </si>
  <si>
    <t>090781816</t>
  </si>
  <si>
    <t>110002953</t>
  </si>
  <si>
    <t>HJ PSY GEN PSYCHOTIQUE CH NARBONNE</t>
  </si>
  <si>
    <t>110780137</t>
  </si>
  <si>
    <t>110780152</t>
  </si>
  <si>
    <t>CLINIQUE DE MIREMONT BADENS</t>
  </si>
  <si>
    <t>110000064</t>
  </si>
  <si>
    <t>110786324</t>
  </si>
  <si>
    <t>USSAP</t>
  </si>
  <si>
    <t>120000039</t>
  </si>
  <si>
    <t>CH DE RODEZ HOPITAL JACQUES PUEL</t>
  </si>
  <si>
    <t>120780044</t>
  </si>
  <si>
    <t>120004569</t>
  </si>
  <si>
    <t>CH MILLAU</t>
  </si>
  <si>
    <t>120004528</t>
  </si>
  <si>
    <t>120780283</t>
  </si>
  <si>
    <t>CHS STE MARIE RODEZ</t>
  </si>
  <si>
    <t>920030269</t>
  </si>
  <si>
    <t>240000265</t>
  </si>
  <si>
    <t>300000080</t>
  </si>
  <si>
    <t>CHS LE MAS CAREIRON UZES</t>
  </si>
  <si>
    <t>300780103</t>
  </si>
  <si>
    <t>300000387</t>
  </si>
  <si>
    <t>AEMC</t>
  </si>
  <si>
    <t>300000759</t>
  </si>
  <si>
    <t>CIGALIERES</t>
  </si>
  <si>
    <t>300002128</t>
  </si>
  <si>
    <t>CHATEAU DE COULORGUES BAGNOLS SUR CEZE</t>
  </si>
  <si>
    <t>300000247</t>
  </si>
  <si>
    <t>300780210</t>
  </si>
  <si>
    <t>CL BELLE RIVE VILLENEUVE LES AVIGNON</t>
  </si>
  <si>
    <t>300000148</t>
  </si>
  <si>
    <t>300780244</t>
  </si>
  <si>
    <t>CL DU PONT DU GARD REMOULINS</t>
  </si>
  <si>
    <t>300780251</t>
  </si>
  <si>
    <t>CL NEURO PSYCHIATRIQUE QUISSAC</t>
  </si>
  <si>
    <t>300000189</t>
  </si>
  <si>
    <t>300780269</t>
  </si>
  <si>
    <t>CL LES SOPHORAS NIMES</t>
  </si>
  <si>
    <t>300000197</t>
  </si>
  <si>
    <t>300780384</t>
  </si>
  <si>
    <t>CTRE PROTECTION INFANTILE MONTAURY CRF</t>
  </si>
  <si>
    <t>750721334</t>
  </si>
  <si>
    <t>300781424</t>
  </si>
  <si>
    <t>CL LA CAMARGUE BOUILLARGUES</t>
  </si>
  <si>
    <t>300000692</t>
  </si>
  <si>
    <t>300782117</t>
  </si>
  <si>
    <t>CHU NIMES CAREMEAU</t>
  </si>
  <si>
    <t>300780038</t>
  </si>
  <si>
    <t>310000187</t>
  </si>
  <si>
    <t>SA CL DE BEAUPUY</t>
  </si>
  <si>
    <t>310000369</t>
  </si>
  <si>
    <t>CH GERARD MARCHANT TOULOUSE</t>
  </si>
  <si>
    <t>310780754</t>
  </si>
  <si>
    <t>310000427</t>
  </si>
  <si>
    <t>SA AUFRERY</t>
  </si>
  <si>
    <t>310018650</t>
  </si>
  <si>
    <t>SECTORISATION PSY NEBOUZAN ASEI</t>
  </si>
  <si>
    <t>310781562</t>
  </si>
  <si>
    <t>310780119</t>
  </si>
  <si>
    <t>CL DE MONTBERON</t>
  </si>
  <si>
    <t>310000047</t>
  </si>
  <si>
    <t>310780143</t>
  </si>
  <si>
    <t>CL DU CHATEAU DE SEYSSES</t>
  </si>
  <si>
    <t>310780358</t>
  </si>
  <si>
    <t>MAISON DE SANTE DE MAILHOL LABASTIDE</t>
  </si>
  <si>
    <t>310000146</t>
  </si>
  <si>
    <t>310781000</t>
  </si>
  <si>
    <t>CL DES CEDRES CORNEBARRIEU</t>
  </si>
  <si>
    <t>310788880</t>
  </si>
  <si>
    <t>310781141</t>
  </si>
  <si>
    <t>CL DU VIEUX CHATEAU D'OC CASTELMAUROU</t>
  </si>
  <si>
    <t>310000435</t>
  </si>
  <si>
    <t>310781430</t>
  </si>
  <si>
    <t>CTRE POST CURE ROUTE NOUVELLE TOULOUSE</t>
  </si>
  <si>
    <t>310788906</t>
  </si>
  <si>
    <t>310782446</t>
  </si>
  <si>
    <t>ARSEAA</t>
  </si>
  <si>
    <t>310783063</t>
  </si>
  <si>
    <t>HOPITAL LA GRAVE CHU TOULOUSE</t>
  </si>
  <si>
    <t>310781406</t>
  </si>
  <si>
    <t>310783097</t>
  </si>
  <si>
    <t>CENTRE DE SANTE MENTALE MGEN TOULOUSE</t>
  </si>
  <si>
    <t>310795463</t>
  </si>
  <si>
    <t>CENTRE DE POST CURE APRES TOULOUSE</t>
  </si>
  <si>
    <t>310785068</t>
  </si>
  <si>
    <t>320000094</t>
  </si>
  <si>
    <t>CHS DU GERS</t>
  </si>
  <si>
    <t>320780125</t>
  </si>
  <si>
    <t>320780109</t>
  </si>
  <si>
    <t>CL PSY D'EMBATS AUCH</t>
  </si>
  <si>
    <t>320000078</t>
  </si>
  <si>
    <t>340000033</t>
  </si>
  <si>
    <t>CH BEZIERS</t>
  </si>
  <si>
    <t>340780055</t>
  </si>
  <si>
    <t>340000223</t>
  </si>
  <si>
    <t>HOPITAL ST CLAIR HBT SETE</t>
  </si>
  <si>
    <t>340011295</t>
  </si>
  <si>
    <t>340010149</t>
  </si>
  <si>
    <t>CL ST CLEMENT</t>
  </si>
  <si>
    <t>340010099</t>
  </si>
  <si>
    <t>340016732</t>
  </si>
  <si>
    <t>HJ PSY GEN SITE PERREAL CH BEZIERS</t>
  </si>
  <si>
    <t>340780121</t>
  </si>
  <si>
    <t>CL LA PERGOLA BEZIERS</t>
  </si>
  <si>
    <t>340000082</t>
  </si>
  <si>
    <t>340780485</t>
  </si>
  <si>
    <t>CHS LA COLOMBIERE CHU MONTPELLIER</t>
  </si>
  <si>
    <t>340780477</t>
  </si>
  <si>
    <t>340780758</t>
  </si>
  <si>
    <t>CL RECH MONTPELLIER</t>
  </si>
  <si>
    <t>340000355</t>
  </si>
  <si>
    <t>340780766</t>
  </si>
  <si>
    <t>CL LA LIRONDE ST CLEMENT DE RIVIERE</t>
  </si>
  <si>
    <t>340780782</t>
  </si>
  <si>
    <t>CL STELLA VERARGUES</t>
  </si>
  <si>
    <t>340000371</t>
  </si>
  <si>
    <t>340780790</t>
  </si>
  <si>
    <t>CL ST ANTOINE</t>
  </si>
  <si>
    <t>340000389</t>
  </si>
  <si>
    <t>340780931</t>
  </si>
  <si>
    <t>CL ST MARTIN VIGNOGOUL PIGNAN</t>
  </si>
  <si>
    <t>340000454</t>
  </si>
  <si>
    <t>340782036</t>
  </si>
  <si>
    <t>HOPITAL ST ELOI CHU MONTPELLIER</t>
  </si>
  <si>
    <t>340787266</t>
  </si>
  <si>
    <t>HJ PIJ SETE HBT</t>
  </si>
  <si>
    <t>460785090</t>
  </si>
  <si>
    <t>INSTITUT CAMILLE MIRET</t>
  </si>
  <si>
    <t>480000058</t>
  </si>
  <si>
    <t>CHS FRANCOIS TOSQUELLES ST ALBAN</t>
  </si>
  <si>
    <t>480780147</t>
  </si>
  <si>
    <t>650000060</t>
  </si>
  <si>
    <t>CH LANNEMEZAN</t>
  </si>
  <si>
    <t>650780174</t>
  </si>
  <si>
    <t>650780729</t>
  </si>
  <si>
    <t>CL REPUBLIQUE</t>
  </si>
  <si>
    <t>650000276</t>
  </si>
  <si>
    <t>650780737</t>
  </si>
  <si>
    <t>CL LE PIETAT BARBAZAN DEBAT</t>
  </si>
  <si>
    <t>650000284</t>
  </si>
  <si>
    <t>660000092</t>
  </si>
  <si>
    <t>CHS LEON JEAN GREGORY THUIR</t>
  </si>
  <si>
    <t>660780198</t>
  </si>
  <si>
    <t>660000142</t>
  </si>
  <si>
    <t>SA CL DU PRE</t>
  </si>
  <si>
    <t>660780735</t>
  </si>
  <si>
    <t>CL DU ROUSSILLON PERPIGNAN</t>
  </si>
  <si>
    <t>810000562</t>
  </si>
  <si>
    <t>CH LAVAUR SITE GUIRAUD</t>
  </si>
  <si>
    <t>810000455</t>
  </si>
  <si>
    <t>810100008</t>
  </si>
  <si>
    <t>FONDATION BON SAUVEUR D'ALBY</t>
  </si>
  <si>
    <t>820000032</t>
  </si>
  <si>
    <t>CH MONTAUBAN</t>
  </si>
  <si>
    <t>820000016</t>
  </si>
  <si>
    <t>820003911</t>
  </si>
  <si>
    <t>FONDATION J BOST LOU CAMIN MONTAUBAN</t>
  </si>
  <si>
    <t>820004067</t>
  </si>
  <si>
    <t>PSYCHIATRIE III CAPOU CH MONTAUBAN</t>
  </si>
  <si>
    <t>820005908</t>
  </si>
  <si>
    <t>SERVICE PIJ MONTAUBAN ASEI</t>
  </si>
  <si>
    <t>Activité PSY</t>
  </si>
  <si>
    <t>Zone géographique: Occitanie</t>
  </si>
  <si>
    <t>Catégorie d'établissement: Ensemble des établissements de psychiatrie</t>
  </si>
  <si>
    <t>Forme d'activité: Total toute nature de prise en charge</t>
  </si>
  <si>
    <t>Diagnostics principal comme associés: Tous diagnostics</t>
  </si>
  <si>
    <t>Caractérisation de l'activité de psychiatrie des établissements de la zone géographique sélectionnée</t>
  </si>
  <si>
    <t>Catégorie</t>
  </si>
  <si>
    <t>Finess</t>
  </si>
  <si>
    <t>Raison Sociale</t>
  </si>
  <si>
    <t>Période</t>
  </si>
  <si>
    <t>Nombre de journées</t>
  </si>
  <si>
    <t>AVQ physique moyen</t>
  </si>
  <si>
    <t>AVQ relationnel moyen</t>
  </si>
  <si>
    <t>Nombre de séjours</t>
  </si>
  <si>
    <t>Nombre d'actes ambulatoires</t>
  </si>
  <si>
    <t>Sexe ratio (% homme)</t>
  </si>
  <si>
    <t>Age moyen</t>
  </si>
  <si>
    <t>Nombre de patients</t>
  </si>
  <si>
    <t>CH</t>
  </si>
  <si>
    <t>CH ARIEGE COUSERANS</t>
  </si>
  <si>
    <t>CH NARBONNE</t>
  </si>
  <si>
    <t>PRIVÉ</t>
  </si>
  <si>
    <t>CLINIQUE DE MIREMONT</t>
  </si>
  <si>
    <t>PSPH/EBNL</t>
  </si>
  <si>
    <t>A.S.M.</t>
  </si>
  <si>
    <t>CH DE MILLAU</t>
  </si>
  <si>
    <t>CH RODEZ</t>
  </si>
  <si>
    <t>CH SAINTE-MARIE</t>
  </si>
  <si>
    <t>ASVMT - USR CHATEAU DE COULORGUES</t>
  </si>
  <si>
    <t>CHR/U</t>
  </si>
  <si>
    <t>CHU NIMES</t>
  </si>
  <si>
    <t>CH ALES</t>
  </si>
  <si>
    <t>CHSP LE MAS CAREIRON</t>
  </si>
  <si>
    <t>CLINIQUE BELLE RIVE</t>
  </si>
  <si>
    <t>CLINIQUE DU PONT DU GARD</t>
  </si>
  <si>
    <t>CLINIQUE NEURO-PSYCHIATRIQUE DOMAINE DU CROS</t>
  </si>
  <si>
    <t>CLINIQUE LES SOPHORAS</t>
  </si>
  <si>
    <t>CENTRE DE PROTECTION INFANTILE DE MONTAURY</t>
  </si>
  <si>
    <t>CENTRE DE POST CURE DU PEYRON</t>
  </si>
  <si>
    <t>CLINIQUE DU MONT DUPLAN</t>
  </si>
  <si>
    <t>CLINIQUE DE MONTBERON</t>
  </si>
  <si>
    <t>CLINIQUE DU CHATEAU DE SEYSSES</t>
  </si>
  <si>
    <t>SA MAISON DE SANTÉ MAILHOL</t>
  </si>
  <si>
    <t>CLINIQUE DE BEAUPUY</t>
  </si>
  <si>
    <t>CH GERARD MARCHANT</t>
  </si>
  <si>
    <t>HDJ PSY INF JUV LES AUTANS ARSEAA</t>
  </si>
  <si>
    <t>CLINIQUE DES CEDRES</t>
  </si>
  <si>
    <t>CLINIQUE D'AUFRERY</t>
  </si>
  <si>
    <t>SARL SE CLINIQUE DU DOCTEUR BECQ</t>
  </si>
  <si>
    <t>SA CLINIQUE MARIGNY</t>
  </si>
  <si>
    <t>CHU TOULOUSE</t>
  </si>
  <si>
    <t>CENTRE POST CURE ROUTE NOUVELLE</t>
  </si>
  <si>
    <t>CENTRE DE SANTÉ MENTAL MGEN.ASSOCIATION</t>
  </si>
  <si>
    <t>CENTRE POST CURE CENTRE APRES</t>
  </si>
  <si>
    <t>SARL CLINIQUE D'EMBATS</t>
  </si>
  <si>
    <t>CH DU GERS</t>
  </si>
  <si>
    <t>SAS CLINIQUE SAINT CLEMENT</t>
  </si>
  <si>
    <t>LES HÔPITAUX DU BASSIN DE THAU</t>
  </si>
  <si>
    <t>CLINIQUE LA PERGOLA</t>
  </si>
  <si>
    <t>CHU MONTPELLIER</t>
  </si>
  <si>
    <t>CLINIQUE RECH</t>
  </si>
  <si>
    <t>CLINIQUE LA LIRONDE</t>
  </si>
  <si>
    <t>CLINIQUE STELLA</t>
  </si>
  <si>
    <t>CLINIQUE SAINT ANTOINE</t>
  </si>
  <si>
    <t>CLINIQUE ST MARTIN DE VIGNOGOUL</t>
  </si>
  <si>
    <t>CHS DE LEYME</t>
  </si>
  <si>
    <t>CH F. TOSQUELLES DE ST ALBAN</t>
  </si>
  <si>
    <t>CLINIQUE PSYCHIATRIQUE LAMPRE</t>
  </si>
  <si>
    <t>SARL CLINIQUE DE PIETAT</t>
  </si>
  <si>
    <t>CHS DE THUIR</t>
  </si>
  <si>
    <t>MAISON DE REPOS SENSEVIA</t>
  </si>
  <si>
    <t>CLINIQUE DU PRE</t>
  </si>
  <si>
    <t>CLINIQUE DU ROUSSILLON</t>
  </si>
  <si>
    <t>CH LAVAUR</t>
  </si>
  <si>
    <t>CHS PIERRE JAMET</t>
  </si>
  <si>
    <t>FONDATION JOHN BOST, PAVILLON LOU CAMIN</t>
  </si>
  <si>
    <t>Total</t>
  </si>
  <si>
    <t>Des résultats peuvent être masqués en raison du secret statistique (effectif inférieur à 11). Les totaux peuvent donc ne pas correspondre à la somme des données affichées dans le tableau.</t>
  </si>
  <si>
    <t>Année: 2024</t>
  </si>
  <si>
    <t>M12</t>
  </si>
  <si>
    <t>C4 non publiée</t>
  </si>
  <si>
    <t>??? =</t>
  </si>
  <si>
    <t>C1 2023 =</t>
  </si>
  <si>
    <t>C3 2023=</t>
  </si>
  <si>
    <t>C1 2024 =</t>
  </si>
  <si>
    <t xml:space="preserve">C3 2024 = </t>
  </si>
  <si>
    <t>écart</t>
  </si>
  <si>
    <t>diffusion ARS ????</t>
  </si>
  <si>
    <t>diffusion ARS 200525</t>
  </si>
  <si>
    <t>tx évol régional 23/24</t>
  </si>
  <si>
    <t>ECARTS DOT POP à partir C4-24 notifié ARS</t>
  </si>
  <si>
    <t>2024 écart ARS / C1</t>
  </si>
  <si>
    <t>TOTAL</t>
  </si>
  <si>
    <t>2024 écart ARS / C2</t>
  </si>
  <si>
    <t>FINESS HAPI</t>
  </si>
  <si>
    <r>
      <rPr>
        <b/>
        <sz val="11"/>
        <rFont val="Calibri"/>
        <family val="2"/>
      </rPr>
      <t>FINESS</t>
    </r>
  </si>
  <si>
    <r>
      <rPr>
        <b/>
        <sz val="11"/>
        <rFont val="Calibri"/>
        <family val="2"/>
      </rPr>
      <t>RAISON SOCIALE</t>
    </r>
  </si>
  <si>
    <r>
      <rPr>
        <b/>
        <sz val="11"/>
        <rFont val="Calibri"/>
        <family val="2"/>
      </rPr>
      <t>Statut</t>
    </r>
  </si>
  <si>
    <r>
      <t>Dotation provisionnelle</t>
    </r>
    <r>
      <rPr>
        <b/>
        <sz val="10"/>
        <color theme="5" tint="-0.249977111117893"/>
        <rFont val="Aptos Narrow"/>
        <family val="2"/>
        <scheme val="minor"/>
      </rPr>
      <t xml:space="preserve"> (socle=T0)</t>
    </r>
  </si>
  <si>
    <t>dot pop</t>
  </si>
  <si>
    <t>DFA (*)</t>
  </si>
  <si>
    <t>DP / (DP+DFA)</t>
  </si>
  <si>
    <t>ARS DOT POP PSY 2023</t>
  </si>
  <si>
    <t>ARS DOT POP PSY 2024</t>
  </si>
  <si>
    <t>dot prov</t>
  </si>
  <si>
    <t>C1 2023</t>
  </si>
  <si>
    <t>dernière C23</t>
  </si>
  <si>
    <t>C1 24</t>
  </si>
  <si>
    <t>dernière C24</t>
  </si>
  <si>
    <t>en €</t>
  </si>
  <si>
    <t>en%</t>
  </si>
  <si>
    <t>tx evol 23/24</t>
  </si>
  <si>
    <t>valeur en C2</t>
  </si>
  <si>
    <t>écart ARS /C2</t>
  </si>
  <si>
    <t>EPS</t>
  </si>
  <si>
    <t>CENTRE HOSPITALIER NARBONNE</t>
  </si>
  <si>
    <t>EBL</t>
  </si>
  <si>
    <t>ASM-USSAP</t>
  </si>
  <si>
    <t>EBNL</t>
  </si>
  <si>
    <t>CENTRE HOSPITALIER DE MILLAU</t>
  </si>
  <si>
    <t>CH RODEZ "HOPITAL JACQUES PUEL"</t>
  </si>
  <si>
    <t>Assoc hospitalière STE MARIE</t>
  </si>
  <si>
    <t>CHATEAU DE COULORGUES</t>
  </si>
  <si>
    <t>SECTION PEDO PSY LE BOSQUET</t>
  </si>
  <si>
    <t>CENTRE HOSPITALIER ALES CEVENNES</t>
  </si>
  <si>
    <t>CHS MAS CAREIRON</t>
  </si>
  <si>
    <t>CLINIQUE BELLERIVE</t>
  </si>
  <si>
    <t>CLINIQUE NEURO PSY QUISSAC</t>
  </si>
  <si>
    <t>PROTECTION INFANTILE MONTAURY</t>
  </si>
  <si>
    <t>CENTRE DE POST-CURE DU PEYRON</t>
  </si>
  <si>
    <t>SECTORISATION GUIDANCE INF ARSEAA</t>
  </si>
  <si>
    <t>MAISON DE SANTE DE MAILHOL</t>
  </si>
  <si>
    <t>CENTRE HOSPITALIER G. MARCHANT</t>
  </si>
  <si>
    <t>CLINIQUE DU VIEU CHATEAU D'OC</t>
  </si>
  <si>
    <t>CLINIQUE MARIGNY</t>
  </si>
  <si>
    <t>CHU DE TOULOUSE</t>
  </si>
  <si>
    <t>CENTREPOSTCURE ROUTE NOUVELLE</t>
  </si>
  <si>
    <t>SANTE MENTALE MGEN TOULOUSE</t>
  </si>
  <si>
    <t>CENTRE DE POST CURE "APRES"</t>
  </si>
  <si>
    <t>CLINIQUE D'EMBATS</t>
  </si>
  <si>
    <t>CENTRE HOSPITALIER DU GERS</t>
  </si>
  <si>
    <t>CLINIQUE ST-CLEMENT-DE-RIVIERE</t>
  </si>
  <si>
    <t>LES HOPITAUX DU BASSIN DE THAU</t>
  </si>
  <si>
    <t>CLINIQUE ST MARTIN VIGNOGOUL</t>
  </si>
  <si>
    <t>CH FRANCOIS TOSQUELLES</t>
  </si>
  <si>
    <t>HOPITAUX DE LANNEMEZAN</t>
  </si>
  <si>
    <t>CLINIQUE LAMPRE</t>
  </si>
  <si>
    <t>CLINIQUE LE PIETAT</t>
  </si>
  <si>
    <t>CH SPECIALISE LEON JEAN GREGORY</t>
  </si>
  <si>
    <t>CLINIQUE SENSEVIA</t>
  </si>
  <si>
    <t>CENTRE HOSPITALIER DE LAVAUR</t>
  </si>
  <si>
    <t>CHS PIERRE JAMET ALBI</t>
  </si>
  <si>
    <t>CENTRE HOSPITALIER DE MONTAUBAN</t>
  </si>
  <si>
    <t>PAVILLON LOU CAMIN</t>
  </si>
  <si>
    <t>SECTORISATION PIJ  MONTAUBAN ASEI</t>
  </si>
  <si>
    <t>moyenne</t>
  </si>
  <si>
    <t>* différentiel à reverser</t>
  </si>
  <si>
    <t>médiane</t>
  </si>
  <si>
    <t xml:space="preserve">FI </t>
  </si>
  <si>
    <t>FI harm</t>
  </si>
  <si>
    <t>NB de séjours</t>
  </si>
  <si>
    <t>NB d'actes ambulatoires</t>
  </si>
  <si>
    <t>NB de patients</t>
  </si>
  <si>
    <t>Statut</t>
  </si>
  <si>
    <t>DotPop 2024</t>
  </si>
  <si>
    <t>Pas de données scansanté</t>
  </si>
  <si>
    <t>Acceuil familial thérapeutique</t>
  </si>
  <si>
    <t>Accueil appart thérapeutique</t>
  </si>
  <si>
    <t>Acceuil centre post cure</t>
  </si>
  <si>
    <t>Acceuil centre de crise</t>
  </si>
  <si>
    <t>Hospit à domicile</t>
  </si>
  <si>
    <t>Hospit de jour</t>
  </si>
  <si>
    <t>Hospit de nuit</t>
  </si>
  <si>
    <t>Ateliers thérapeutiques</t>
  </si>
  <si>
    <t>Temps complet</t>
  </si>
  <si>
    <t>Capacitaire</t>
  </si>
  <si>
    <t>données sae séparées en 2 établissements</t>
  </si>
  <si>
    <t>Activité (en NB de journées)</t>
  </si>
  <si>
    <t>Temps partiel</t>
  </si>
  <si>
    <t>Activité (en equivalent journées)</t>
  </si>
  <si>
    <t>Ambulatoire</t>
  </si>
  <si>
    <t>CMP</t>
  </si>
  <si>
    <t>Unité de consultation services psy</t>
  </si>
  <si>
    <t>CATTP</t>
  </si>
  <si>
    <t>Activité (en nombre d'actes)</t>
  </si>
  <si>
    <t>à domicile</t>
  </si>
  <si>
    <t>en établissement social</t>
  </si>
  <si>
    <t>unite somatique et urgences psychiatriques</t>
  </si>
  <si>
    <t>médico-éducatif/PMI/milieu scoalire</t>
  </si>
  <si>
    <t>TO TC</t>
  </si>
  <si>
    <t>TO HDJ</t>
  </si>
  <si>
    <t>Hospit à temps complet</t>
  </si>
  <si>
    <t>TO AFT</t>
  </si>
  <si>
    <t>TO AAT</t>
  </si>
  <si>
    <t>TO ACPC</t>
  </si>
  <si>
    <t>TO ACC</t>
  </si>
  <si>
    <t>TO HAD</t>
  </si>
  <si>
    <t>TO HDN</t>
  </si>
  <si>
    <t>TO AT</t>
  </si>
  <si>
    <t>dotpop/lit/établissement</t>
  </si>
  <si>
    <t>AFT inactifs</t>
  </si>
  <si>
    <t>AAT inactifs</t>
  </si>
  <si>
    <t>ACPC inactifs</t>
  </si>
  <si>
    <t>ACC inactifs</t>
  </si>
  <si>
    <t>HAD inactifs</t>
  </si>
  <si>
    <t>Capacitaire vide</t>
  </si>
  <si>
    <t>Places jour vides</t>
  </si>
  <si>
    <t>Places nuit vides</t>
  </si>
  <si>
    <t>AT inactifs</t>
  </si>
  <si>
    <t>NB de journées total (2024)</t>
  </si>
  <si>
    <t>total Lits HC</t>
  </si>
  <si>
    <t>total activité lits HC</t>
  </si>
  <si>
    <t>poids lits HC ds capacitaire TP</t>
  </si>
  <si>
    <t>total activité Temps Plein</t>
  </si>
  <si>
    <t>total capacitaire Temps Plein</t>
  </si>
  <si>
    <t>poids activité HC ds activité TP</t>
  </si>
  <si>
    <t>total lits vides HC</t>
  </si>
  <si>
    <t>total capacitaire vide Tps Plein</t>
  </si>
  <si>
    <t>poids lits vide HC ds capacitaire vide TP</t>
  </si>
  <si>
    <t>poids lits vide HC ds lits HC</t>
  </si>
  <si>
    <t>AT hors périmètre ?</t>
  </si>
  <si>
    <t>total capacitaire vide Tps Partiel</t>
  </si>
  <si>
    <t>total capacitaire Tps Partiel</t>
  </si>
  <si>
    <t>poids places vide TP ds places TP</t>
  </si>
  <si>
    <t>Capacitaire HC</t>
  </si>
  <si>
    <t>Lits vides HC</t>
  </si>
  <si>
    <t>pondération à prévoir ?</t>
  </si>
  <si>
    <t xml:space="preserve">à prendre en compte ? pondération ? </t>
  </si>
  <si>
    <t>EBL / ex OQN</t>
  </si>
  <si>
    <t>EPS / ex DG</t>
  </si>
  <si>
    <t>TOTAL EPS</t>
  </si>
  <si>
    <t>TOTAL EBNL</t>
  </si>
  <si>
    <t>TOTAL EBL</t>
  </si>
  <si>
    <t>pas de données sae, les données d'activité utilisées sont celles de scansanté sur l'année 2024 (colonne D)</t>
  </si>
  <si>
    <t>places</t>
  </si>
  <si>
    <t>lits adultes</t>
  </si>
  <si>
    <t>places adultes</t>
  </si>
  <si>
    <t>Values</t>
  </si>
  <si>
    <t xml:space="preserve">Catégorie </t>
  </si>
  <si>
    <t>Occitanie</t>
  </si>
  <si>
    <t>Sum of JOUHC</t>
  </si>
  <si>
    <t>Privé</t>
  </si>
  <si>
    <t>Privé non lucratif</t>
  </si>
  <si>
    <t>Public</t>
  </si>
  <si>
    <t>Sum of JOUHP</t>
  </si>
  <si>
    <t>TO moyen lits</t>
  </si>
  <si>
    <t>Valo sectorielle lits vides</t>
  </si>
  <si>
    <t>Valo sectorielle places vides</t>
  </si>
  <si>
    <t>Total valorisation Vide</t>
  </si>
  <si>
    <t>Tout secteur</t>
  </si>
  <si>
    <t>Total dot pop</t>
  </si>
  <si>
    <t>Dot pop sur lits et places occupées</t>
  </si>
  <si>
    <t>Lit</t>
  </si>
  <si>
    <t>Place</t>
  </si>
  <si>
    <t>TO cible lits</t>
  </si>
  <si>
    <t>TO cible places</t>
  </si>
  <si>
    <t>VALORISATION ? (selon capacitaire vide par établissement)</t>
  </si>
  <si>
    <t>ambulatoire</t>
  </si>
  <si>
    <t xml:space="preserve">Tx occup cible pour calculer lits/places vides </t>
  </si>
  <si>
    <t>Pondération places et activité ambulatoire (rapportée à 1 lit)</t>
  </si>
  <si>
    <t>Sum CAPA TC</t>
  </si>
  <si>
    <t>Sum CAPA TP</t>
  </si>
  <si>
    <t>Sum CAPA AMB</t>
  </si>
  <si>
    <t>Sum AMB (nb d'actes)</t>
  </si>
  <si>
    <t>TO moyen HDJ</t>
  </si>
  <si>
    <t>Capacitaire vide HC</t>
  </si>
  <si>
    <t>Capacitaire vide HP</t>
  </si>
  <si>
    <t>Dotpop / lit et place moyenne</t>
  </si>
  <si>
    <t>file_TOT</t>
  </si>
  <si>
    <t>file_AMB</t>
  </si>
  <si>
    <t>moyenne :</t>
  </si>
  <si>
    <t>dotpop/place/établissement</t>
  </si>
  <si>
    <t>Onglet explicatif – Sources et Méthodes</t>
  </si>
  <si>
    <r>
      <rPr>
        <b/>
        <u/>
        <sz val="11"/>
        <color theme="1"/>
        <rFont val="Aptos Narrow"/>
        <family val="2"/>
        <scheme val="minor"/>
      </rPr>
      <t>Sources</t>
    </r>
    <r>
      <rPr>
        <sz val="11"/>
        <rFont val="Calibri"/>
      </rPr>
      <t xml:space="preserve"> : DREES, statistique annuelle des établissements : extraction des données capacitaires et d'activité 2023.     
Scansanté : extraction des données d'activité 2024.
                             Recueil des actes administratifs régionaux : extraction des montants de dotation populationnelle par établissement afin de réaliser les calculs de dotation par lit et place.</t>
    </r>
    <r>
      <rPr>
        <sz val="11"/>
        <rFont val="Calibri"/>
        <family val="2"/>
      </rPr>
      <t xml:space="preserve">
Ces trois bases de données ont permis la constitution de l'onglet "base".</t>
    </r>
  </si>
  <si>
    <t>Valo lits vides</t>
  </si>
  <si>
    <t>Valo places vides</t>
  </si>
  <si>
    <t>file_mixte</t>
  </si>
  <si>
    <t>dotpop sur lits et places occupés</t>
  </si>
  <si>
    <t>% dotpop sur lits et places occupés</t>
  </si>
  <si>
    <t>% dotpop sur lits et places inoccupés</t>
  </si>
  <si>
    <t xml:space="preserve">moyenne : </t>
  </si>
  <si>
    <t>dotpop/file active mixte</t>
  </si>
  <si>
    <t>dotpop/file</t>
  </si>
  <si>
    <t>TOTAL INF EPS</t>
  </si>
  <si>
    <t>TOTAL INF EBNL</t>
  </si>
  <si>
    <t>TOTAL INF EBL</t>
  </si>
  <si>
    <t xml:space="preserve">TOTAL INF </t>
  </si>
  <si>
    <t>TOTAL PEN EPS</t>
  </si>
  <si>
    <t>TOTAL PEN EBNL</t>
  </si>
  <si>
    <t>TOTAL PEN EBL</t>
  </si>
  <si>
    <t>TOTAL PEN</t>
  </si>
  <si>
    <t>Infantile</t>
  </si>
  <si>
    <t>Pénitentiaire</t>
  </si>
  <si>
    <r>
      <rPr>
        <b/>
        <u/>
        <sz val="11"/>
        <rFont val="Calibri"/>
        <family val="2"/>
      </rPr>
      <t xml:space="preserve">Méthodes de calcul : </t>
    </r>
    <r>
      <rPr>
        <sz val="11"/>
        <rFont val="Calibri"/>
        <family val="2"/>
      </rPr>
      <t xml:space="preserve">
</t>
    </r>
    <r>
      <rPr>
        <u/>
        <sz val="11"/>
        <rFont val="Calibri"/>
        <family val="2"/>
      </rPr>
      <t>Nombre de lits et places vides (vision par établissement)</t>
    </r>
    <r>
      <rPr>
        <sz val="11"/>
        <rFont val="Calibri"/>
        <family val="2"/>
      </rPr>
      <t xml:space="preserve"> : Cette méthode repose sur une estimation « micro », réalisée établissement par établissement. Elle consiste à identifier, pour chaque structure, le nombre de lits ou places sous-occupés par rapport aux taux d’occupation cibles (généralement  90 % pour les lits et 95 % pour les places, ces TO de référence sont modifiables dans l'onglet synthèse). Les lits et places vides par établissement sont ensuite additionnés sectoriellement et globalement puis valorisés comme expliqué ci-dessous. Cette approche permet de comptabiliser l’ensemble des dotations allouées à des lits et places vides. Toutes les valorisations sont exprimées en milliers d'euros
</t>
    </r>
    <r>
      <rPr>
        <u/>
        <sz val="11"/>
        <rFont val="Calibri"/>
        <family val="2"/>
      </rPr>
      <t xml:space="preserve">Valorisation des lits et places </t>
    </r>
    <r>
      <rPr>
        <sz val="11"/>
        <rFont val="Calibri"/>
        <family val="2"/>
      </rPr>
      <t xml:space="preserve">: Chaque lit et place vide est valorisé en utilisant le montant moyen de dotation populationnelle par lit et place de l'établissement concerné. Par hypothèse 1 place = 0,9 lit et une unité ambulatoire = 0,25 place.  Dotation populationnelle / lit = total de dotation populationnelle de l'établissement / (Total lits établissement + 0,9*Total places de l'établissement + 0,225*Total unités ambulatoires de l'établissement) dotation populationnelle / place = dotation populationnelle / lit * 0,9. Ces montants dotations populationnelles / lit et place sont donc propres à chaque établissement.
</t>
    </r>
    <r>
      <rPr>
        <u/>
        <sz val="11"/>
        <rFont val="Calibri"/>
        <family val="2"/>
      </rPr>
      <t>Dotation populationnelle / file</t>
    </r>
    <r>
      <rPr>
        <sz val="11"/>
        <rFont val="Calibri"/>
        <family val="2"/>
      </rPr>
      <t xml:space="preserve"> = total de dotation populationnelle de l'établissement / (file mixte + 0,225*file ambulatoire), la même valorisation de l'activité ambulatoire que pour la dotation populationnelle par lit est utilisée.
</t>
    </r>
    <r>
      <rPr>
        <u/>
        <sz val="11"/>
        <rFont val="Calibri"/>
        <family val="2"/>
      </rPr>
      <t xml:space="preserve">
Cas particuliers</t>
    </r>
    <r>
      <rPr>
        <sz val="11"/>
        <rFont val="Calibri"/>
        <family val="2"/>
      </rPr>
      <t xml:space="preserve"> : Les établissements maison de repos Sensevia et clinique de Marigny ne disposent pas de données SAE pour l'années 2023. Leurs données d'activité sont donc issues de la base scansanté 2024 alors que la base SAE 2023 est utilisée pou les autres établissements. Les données de file active de la clinique de Marigny proviennet de la base SAE2022, aucune donnée sur les files actives de Sensevia n'a pu être récupérée.</t>
    </r>
    <r>
      <rPr>
        <u/>
        <sz val="11"/>
        <rFont val="Calibri"/>
        <family val="2"/>
      </rPr>
      <t xml:space="preserve">
</t>
    </r>
    <r>
      <rPr>
        <sz val="11"/>
        <rFont val="Calibri"/>
        <family val="2"/>
      </rPr>
      <t xml:space="preserve">
</t>
    </r>
  </si>
  <si>
    <t>Ce fichier excel compile les données d’activité des établissements de santé pour la région Occitanie. Il est destiné à fournir un aperçu global et détaillé de l’activité en psychiatrie, ainsi qu’une mesure des cpacitaires inutilisés.</t>
  </si>
  <si>
    <t>TC</t>
  </si>
  <si>
    <t>TP</t>
  </si>
  <si>
    <t>Part de l'infantile dans le total des capacitaires vides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</si>
</sst>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000000"/>
    <numFmt numFmtId="165" formatCode="0.0%"/>
    <numFmt numFmtId="166" formatCode="0.000%"/>
    <numFmt numFmtId="167" formatCode="0.0"/>
    <numFmt numFmtId="168" formatCode="#,##0_ ;\-#,##0\ "/>
  </numFmts>
  <fonts count="61" x14ac:knownFonts="1">
    <font>
      <sz val="11"/>
      <name val="Calibri"/>
    </font>
    <font>
      <sz val="11"/>
      <color theme="1"/>
      <name val="Aptos Narrow"/>
      <family val="2"/>
      <scheme val="minor"/>
    </font>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Calibri"/>
      <family val="2"/>
    </font>
    <font>
      <b/>
      <sz val="12"/>
      <color rgb="FF514B64"/>
      <name val="Arial"/>
      <family val="2"/>
    </font>
    <font>
      <sz val="6.85"/>
      <color rgb="FF5F5870"/>
      <name val="Verdana"/>
      <family val="2"/>
    </font>
    <font>
      <sz val="15.4"/>
      <color rgb="FF5F5870"/>
      <name val="Verdana"/>
      <family val="2"/>
    </font>
    <font>
      <b/>
      <sz val="8"/>
      <color rgb="FF514B64"/>
      <name val="Arial"/>
      <family val="2"/>
    </font>
    <font>
      <b/>
      <sz val="10"/>
      <color rgb="FFFFFFFF"/>
      <name val="Arial"/>
      <family val="2"/>
    </font>
    <font>
      <b/>
      <sz val="8"/>
      <color rgb="FFFFFFFF"/>
      <name val="Arial"/>
      <family val="2"/>
    </font>
    <font>
      <sz val="10"/>
      <color rgb="FF000000"/>
      <name val="Times New Roman"/>
      <family val="1"/>
    </font>
    <font>
      <sz val="9"/>
      <color rgb="FF000000"/>
      <name val="Times New Roman"/>
      <family val="1"/>
    </font>
    <font>
      <sz val="10"/>
      <color rgb="FFFF0000"/>
      <name val="Times New Roman"/>
      <family val="1"/>
    </font>
    <font>
      <sz val="11"/>
      <color rgb="FF000000"/>
      <name val="Calibri"/>
      <family val="2"/>
    </font>
    <font>
      <sz val="10"/>
      <color rgb="FF000000"/>
      <name val="Calibri"/>
      <family val="2"/>
    </font>
    <font>
      <b/>
      <sz val="11"/>
      <name val="Calibri"/>
      <family val="2"/>
    </font>
    <font>
      <b/>
      <sz val="9"/>
      <color theme="1"/>
      <name val="Aptos Narrow"/>
      <family val="2"/>
      <scheme val="minor"/>
    </font>
    <font>
      <b/>
      <sz val="10"/>
      <color theme="5" tint="-0.249977111117893"/>
      <name val="Aptos Narrow"/>
      <family val="2"/>
      <scheme val="minor"/>
    </font>
    <font>
      <b/>
      <sz val="9"/>
      <name val="Calibri"/>
      <family val="2"/>
    </font>
    <font>
      <b/>
      <sz val="10"/>
      <color rgb="FF000000"/>
      <name val="Calibri"/>
      <family val="2"/>
    </font>
    <font>
      <sz val="10"/>
      <name val="Calibri"/>
      <family val="2"/>
    </font>
    <font>
      <sz val="10"/>
      <color theme="1"/>
      <name val="Calibri"/>
      <family val="2"/>
    </font>
    <font>
      <sz val="10"/>
      <color theme="1"/>
      <name val="Aptos Narrow"/>
      <family val="2"/>
      <scheme val="minor"/>
    </font>
    <font>
      <sz val="8"/>
      <name val="Arial"/>
      <family val="2"/>
    </font>
    <font>
      <sz val="11"/>
      <color rgb="FFFF0000"/>
      <name val="Calibri"/>
      <family val="2"/>
    </font>
    <font>
      <sz val="11"/>
      <color theme="1"/>
      <name val="Calibri"/>
      <family val="2"/>
    </font>
    <font>
      <sz val="10"/>
      <name val="Arial"/>
      <family val="2"/>
    </font>
    <font>
      <sz val="11"/>
      <color indexed="8"/>
      <name val="Calibri"/>
      <family val="2"/>
    </font>
    <font>
      <b/>
      <sz val="11"/>
      <color rgb="FFFF0000"/>
      <name val="Calibri"/>
      <family val="2"/>
    </font>
    <font>
      <u/>
      <sz val="11"/>
      <color rgb="FFFF0000"/>
      <name val="Calibri"/>
      <family val="2"/>
    </font>
    <font>
      <sz val="11"/>
      <name val="Calibri"/>
      <family val="2"/>
    </font>
    <font>
      <b/>
      <sz val="12"/>
      <color rgb="FFFF0000"/>
      <name val="Aptos Narrow"/>
      <family val="2"/>
      <scheme val="minor"/>
    </font>
    <font>
      <b/>
      <sz val="10"/>
      <color theme="1"/>
      <name val="Aptos Narrow"/>
      <family val="2"/>
      <scheme val="minor"/>
    </font>
    <font>
      <b/>
      <u/>
      <sz val="11"/>
      <color theme="1"/>
      <name val="Aptos Narrow"/>
      <family val="2"/>
      <scheme val="minor"/>
    </font>
    <font>
      <b/>
      <sz val="18"/>
      <color theme="1"/>
      <name val="Aptos Narrow"/>
      <family val="2"/>
      <scheme val="minor"/>
    </font>
    <font>
      <b/>
      <sz val="11"/>
      <name val="Aptos Narrow"/>
      <family val="2"/>
    </font>
    <font>
      <b/>
      <sz val="10"/>
      <name val="Aptos Narrow"/>
      <family val="2"/>
    </font>
    <font>
      <sz val="10"/>
      <name val="Aptos Narrow"/>
      <family val="2"/>
    </font>
    <font>
      <u/>
      <sz val="11"/>
      <name val="Calibri"/>
      <family val="2"/>
    </font>
    <font>
      <b/>
      <u/>
      <sz val="11"/>
      <name val="Calibri"/>
      <family val="2"/>
    </font>
    <font>
      <sz val="8"/>
      <color rgb="FF514B64"/>
      <name val="Arial"/>
      <family val="2"/>
    </font>
    <font>
      <sz val="10"/>
      <color theme="1"/>
      <name val="Arial"/>
      <family val="2"/>
    </font>
    <font>
      <sz val="11"/>
      <name val="Arial"/>
      <family val="2"/>
    </font>
    <font>
      <b/>
      <u/>
      <sz val="11"/>
      <name val="Aptos Narrow"/>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0E0EB"/>
        <bgColor indexed="64"/>
      </patternFill>
    </fill>
    <fill>
      <patternFill patternType="solid">
        <fgColor rgb="FF514B64"/>
        <bgColor indexed="64"/>
      </patternFill>
    </fill>
    <fill>
      <patternFill patternType="solid">
        <fgColor rgb="FFFFFFFF"/>
        <bgColor indexed="64"/>
      </patternFill>
    </fill>
    <fill>
      <patternFill patternType="solid">
        <fgColor rgb="FFF8F9FB"/>
        <bgColor indexed="64"/>
      </patternFill>
    </fill>
    <fill>
      <patternFill patternType="solid">
        <fgColor rgb="FF70B2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9"/>
        <bgColor theme="9"/>
      </patternFill>
    </fill>
    <fill>
      <patternFill patternType="solid">
        <fgColor rgb="FFC0E6F5"/>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7" tint="0.79998168889431442"/>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514B64"/>
      </left>
      <right style="double">
        <color rgb="FF514B64"/>
      </right>
      <top style="double">
        <color rgb="FF514B64"/>
      </top>
      <bottom/>
      <diagonal/>
    </border>
    <border>
      <left style="double">
        <color rgb="FF514B64"/>
      </left>
      <right style="double">
        <color rgb="FF514B64"/>
      </right>
      <top/>
      <bottom/>
      <diagonal/>
    </border>
    <border>
      <left style="double">
        <color rgb="FF514B64"/>
      </left>
      <right style="double">
        <color rgb="FF514B64"/>
      </right>
      <top/>
      <bottom style="double">
        <color rgb="FF514B64"/>
      </bottom>
      <diagonal/>
    </border>
    <border>
      <left style="double">
        <color rgb="FF514B64"/>
      </left>
      <right style="medium">
        <color rgb="FFFFFFFF"/>
      </right>
      <top style="double">
        <color rgb="FF514B64"/>
      </top>
      <bottom style="medium">
        <color rgb="FF000000"/>
      </bottom>
      <diagonal/>
    </border>
    <border>
      <left/>
      <right style="medium">
        <color rgb="FFFFFFFF"/>
      </right>
      <top style="double">
        <color rgb="FF514B64"/>
      </top>
      <bottom style="medium">
        <color rgb="FF000000"/>
      </bottom>
      <diagonal/>
    </border>
    <border>
      <left/>
      <right style="double">
        <color rgb="FF514B64"/>
      </right>
      <top style="double">
        <color rgb="FF514B64"/>
      </top>
      <bottom style="medium">
        <color rgb="FF000000"/>
      </bottom>
      <diagonal/>
    </border>
    <border>
      <left style="double">
        <color rgb="FF514B64"/>
      </left>
      <right/>
      <top/>
      <bottom/>
      <diagonal/>
    </border>
    <border>
      <left/>
      <right style="double">
        <color rgb="FF514B64"/>
      </right>
      <top/>
      <bottom/>
      <diagonal/>
    </border>
    <border>
      <left style="double">
        <color rgb="FF514B64"/>
      </left>
      <right style="medium">
        <color rgb="FFFFFFFF"/>
      </right>
      <top style="medium">
        <color rgb="FFFFFFFF"/>
      </top>
      <bottom style="double">
        <color rgb="FF514B64"/>
      </bottom>
      <diagonal/>
    </border>
    <border>
      <left style="medium">
        <color rgb="FFFFFFFF"/>
      </left>
      <right style="medium">
        <color rgb="FFFFFFFF"/>
      </right>
      <top style="medium">
        <color rgb="FFFFFFFF"/>
      </top>
      <bottom style="double">
        <color rgb="FF514B64"/>
      </bottom>
      <diagonal/>
    </border>
    <border>
      <left style="medium">
        <color rgb="FFFFFFFF"/>
      </left>
      <right style="double">
        <color rgb="FF514B64"/>
      </right>
      <top style="medium">
        <color rgb="FFFFFFFF"/>
      </top>
      <bottom style="double">
        <color rgb="FF514B64"/>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7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8" borderId="8" applyNumberFormat="0" applyFont="0" applyAlignment="0" applyProtection="0"/>
    <xf numFmtId="9" fontId="20" fillId="0" borderId="0" applyFont="0" applyFill="0" applyBorder="0" applyAlignment="0" applyProtection="0"/>
    <xf numFmtId="0" fontId="2" fillId="0" borderId="0"/>
    <xf numFmtId="0" fontId="43" fillId="0" borderId="0"/>
    <xf numFmtId="0" fontId="43" fillId="0" borderId="0"/>
    <xf numFmtId="0" fontId="43" fillId="0" borderId="0"/>
    <xf numFmtId="0" fontId="43" fillId="0" borderId="0"/>
    <xf numFmtId="0" fontId="44" fillId="0" borderId="0"/>
    <xf numFmtId="0" fontId="44" fillId="0" borderId="0"/>
    <xf numFmtId="0" fontId="43" fillId="0" borderId="0"/>
    <xf numFmtId="0" fontId="43" fillId="0" borderId="0"/>
    <xf numFmtId="0" fontId="2" fillId="0" borderId="0"/>
    <xf numFmtId="0" fontId="43" fillId="0" borderId="0"/>
    <xf numFmtId="0" fontId="43" fillId="0" borderId="0"/>
    <xf numFmtId="0" fontId="43" fillId="0" borderId="0"/>
    <xf numFmtId="0" fontId="44" fillId="0" borderId="0"/>
    <xf numFmtId="0" fontId="43" fillId="0" borderId="0"/>
    <xf numFmtId="0" fontId="44" fillId="0" borderId="0"/>
    <xf numFmtId="0" fontId="2" fillId="0" borderId="0"/>
    <xf numFmtId="0" fontId="43" fillId="0" borderId="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30" fillId="0" borderId="0"/>
    <xf numFmtId="0" fontId="43" fillId="0" borderId="0"/>
    <xf numFmtId="0" fontId="43" fillId="0" borderId="0"/>
    <xf numFmtId="0" fontId="43" fillId="0" borderId="0"/>
    <xf numFmtId="43" fontId="47" fillId="0" borderId="0" applyFont="0" applyFill="0" applyBorder="0" applyAlignment="0" applyProtection="0"/>
  </cellStyleXfs>
  <cellXfs count="311">
    <xf numFmtId="0" fontId="0" fillId="0" borderId="0" xfId="0"/>
    <xf numFmtId="0" fontId="22" fillId="36" borderId="0" xfId="0" applyFont="1" applyFill="1"/>
    <xf numFmtId="0" fontId="24" fillId="35" borderId="0" xfId="0" applyFont="1" applyFill="1" applyAlignment="1">
      <alignment horizontal="center" vertical="center" wrapText="1"/>
    </xf>
    <xf numFmtId="0" fontId="23" fillId="36" borderId="0" xfId="0" applyFont="1" applyFill="1" applyAlignment="1">
      <alignment horizontal="center"/>
    </xf>
    <xf numFmtId="0" fontId="25" fillId="37" borderId="13" xfId="0" applyFont="1" applyFill="1" applyBorder="1" applyAlignment="1">
      <alignment horizontal="center" vertical="center" wrapText="1"/>
    </xf>
    <xf numFmtId="0" fontId="25" fillId="37" borderId="14" xfId="0" applyFont="1" applyFill="1" applyBorder="1" applyAlignment="1">
      <alignment horizontal="center" vertical="center" wrapText="1"/>
    </xf>
    <xf numFmtId="0" fontId="25" fillId="37" borderId="15" xfId="0" applyFont="1" applyFill="1" applyBorder="1" applyAlignment="1">
      <alignment horizontal="center" vertical="center" wrapText="1"/>
    </xf>
    <xf numFmtId="0" fontId="24" fillId="35" borderId="16" xfId="0" applyFont="1" applyFill="1" applyBorder="1" applyAlignment="1">
      <alignment horizontal="center" vertical="center" wrapText="1"/>
    </xf>
    <xf numFmtId="3" fontId="24" fillId="35" borderId="0" xfId="0" applyNumberFormat="1" applyFont="1" applyFill="1" applyAlignment="1">
      <alignment horizontal="center" vertical="center" wrapText="1"/>
    </xf>
    <xf numFmtId="10" fontId="24" fillId="35" borderId="0" xfId="0" applyNumberFormat="1" applyFont="1" applyFill="1" applyAlignment="1">
      <alignment horizontal="center" vertical="center" wrapText="1"/>
    </xf>
    <xf numFmtId="3" fontId="24" fillId="35" borderId="17" xfId="0" applyNumberFormat="1" applyFont="1" applyFill="1" applyBorder="1" applyAlignment="1">
      <alignment horizontal="center" vertical="center" wrapText="1"/>
    </xf>
    <xf numFmtId="0" fontId="24" fillId="35" borderId="17" xfId="0" applyFont="1" applyFill="1" applyBorder="1" applyAlignment="1">
      <alignment horizontal="center" vertical="center" wrapText="1"/>
    </xf>
    <xf numFmtId="0" fontId="24" fillId="33" borderId="0" xfId="0" applyFont="1" applyFill="1" applyAlignment="1">
      <alignment horizontal="center" vertical="center" wrapText="1"/>
    </xf>
    <xf numFmtId="0" fontId="26" fillId="34" borderId="18" xfId="0" applyFont="1" applyFill="1" applyBorder="1" applyAlignment="1">
      <alignment horizontal="center" vertical="center" wrapText="1"/>
    </xf>
    <xf numFmtId="0" fontId="26" fillId="34" borderId="19" xfId="0" applyFont="1" applyFill="1" applyBorder="1" applyAlignment="1">
      <alignment horizontal="center" vertical="center" wrapText="1"/>
    </xf>
    <xf numFmtId="3" fontId="26" fillId="34" borderId="19" xfId="0" applyNumberFormat="1" applyFont="1" applyFill="1" applyBorder="1" applyAlignment="1">
      <alignment horizontal="center" vertical="center" wrapText="1"/>
    </xf>
    <xf numFmtId="10" fontId="26" fillId="34" borderId="19" xfId="0" applyNumberFormat="1" applyFont="1" applyFill="1" applyBorder="1" applyAlignment="1">
      <alignment horizontal="center" vertical="center" wrapText="1"/>
    </xf>
    <xf numFmtId="0" fontId="26" fillId="34" borderId="20" xfId="0" applyFont="1" applyFill="1" applyBorder="1" applyAlignment="1">
      <alignment horizontal="center" vertical="center" wrapText="1"/>
    </xf>
    <xf numFmtId="0" fontId="0" fillId="0" borderId="0" xfId="0" applyAlignment="1">
      <alignment horizontal="left" vertical="top"/>
    </xf>
    <xf numFmtId="0" fontId="27" fillId="38" borderId="21" xfId="0" quotePrefix="1" applyFont="1" applyFill="1" applyBorder="1" applyAlignment="1">
      <alignment horizontal="right"/>
    </xf>
    <xf numFmtId="3" fontId="0" fillId="38" borderId="21" xfId="0" applyNumberFormat="1" applyFill="1" applyBorder="1" applyAlignment="1">
      <alignment horizontal="center" vertical="top"/>
    </xf>
    <xf numFmtId="0" fontId="27" fillId="39" borderId="21" xfId="0" quotePrefix="1" applyFont="1" applyFill="1" applyBorder="1" applyAlignment="1">
      <alignment horizontal="right"/>
    </xf>
    <xf numFmtId="3" fontId="0" fillId="39" borderId="21" xfId="0" applyNumberFormat="1" applyFill="1" applyBorder="1" applyAlignment="1">
      <alignment horizontal="center" vertical="top"/>
    </xf>
    <xf numFmtId="0" fontId="27" fillId="40" borderId="21" xfId="0" applyFont="1" applyFill="1" applyBorder="1" applyAlignment="1">
      <alignment horizontal="right"/>
    </xf>
    <xf numFmtId="3" fontId="0" fillId="40" borderId="21" xfId="0" applyNumberFormat="1" applyFill="1" applyBorder="1" applyAlignment="1">
      <alignment horizontal="center"/>
    </xf>
    <xf numFmtId="3" fontId="0" fillId="41" borderId="21" xfId="0" applyNumberFormat="1" applyFill="1" applyBorder="1" applyAlignment="1">
      <alignment horizontal="center"/>
    </xf>
    <xf numFmtId="3" fontId="0" fillId="38" borderId="21" xfId="0" applyNumberFormat="1" applyFill="1" applyBorder="1" applyAlignment="1">
      <alignment horizontal="center" vertical="center"/>
    </xf>
    <xf numFmtId="3" fontId="0" fillId="39" borderId="21" xfId="0" applyNumberFormat="1" applyFill="1" applyBorder="1" applyAlignment="1">
      <alignment horizontal="center" vertical="center"/>
    </xf>
    <xf numFmtId="0" fontId="0" fillId="40" borderId="21" xfId="0" applyFill="1" applyBorder="1" applyAlignment="1">
      <alignment horizontal="right"/>
    </xf>
    <xf numFmtId="0" fontId="29" fillId="0" borderId="0" xfId="0" applyFont="1" applyAlignment="1">
      <alignment horizontal="right" vertical="top"/>
    </xf>
    <xf numFmtId="10" fontId="29" fillId="0" borderId="0" xfId="43" applyNumberFormat="1" applyFont="1" applyFill="1" applyAlignment="1">
      <alignment horizontal="center" vertical="top"/>
    </xf>
    <xf numFmtId="10" fontId="0" fillId="38" borderId="0" xfId="43" applyNumberFormat="1" applyFont="1" applyFill="1" applyAlignment="1">
      <alignment horizontal="center" vertical="top"/>
    </xf>
    <xf numFmtId="0" fontId="27" fillId="0" borderId="0" xfId="0" quotePrefix="1" applyFont="1" applyAlignment="1">
      <alignment horizontal="right"/>
    </xf>
    <xf numFmtId="10" fontId="0" fillId="39" borderId="0" xfId="43" applyNumberFormat="1" applyFont="1" applyFill="1" applyAlignment="1">
      <alignment horizontal="center" vertical="top"/>
    </xf>
    <xf numFmtId="10" fontId="0" fillId="40" borderId="0" xfId="43" applyNumberFormat="1" applyFont="1" applyFill="1" applyAlignment="1">
      <alignment horizontal="center" vertical="top"/>
    </xf>
    <xf numFmtId="10" fontId="0" fillId="0" borderId="0" xfId="43" applyNumberFormat="1" applyFont="1" applyFill="1" applyAlignment="1">
      <alignment horizontal="center" vertical="top"/>
    </xf>
    <xf numFmtId="0" fontId="27" fillId="0" borderId="0" xfId="0" applyFont="1" applyAlignment="1">
      <alignment horizontal="right" vertical="top"/>
    </xf>
    <xf numFmtId="3" fontId="30" fillId="0" borderId="21" xfId="0" applyNumberFormat="1" applyFont="1" applyBorder="1" applyAlignment="1">
      <alignment horizontal="right" vertical="center"/>
    </xf>
    <xf numFmtId="3" fontId="30" fillId="43" borderId="21" xfId="0" applyNumberFormat="1" applyFont="1" applyFill="1" applyBorder="1" applyAlignment="1">
      <alignment horizontal="right" vertical="center"/>
    </xf>
    <xf numFmtId="3" fontId="0" fillId="0" borderId="0" xfId="0" applyNumberFormat="1" applyAlignment="1">
      <alignment horizontal="left" vertical="top"/>
    </xf>
    <xf numFmtId="3" fontId="31" fillId="0" borderId="0" xfId="0" applyNumberFormat="1" applyFont="1" applyAlignment="1">
      <alignment horizontal="right" vertical="center"/>
    </xf>
    <xf numFmtId="0" fontId="15" fillId="44" borderId="22" xfId="0" applyFont="1" applyFill="1" applyBorder="1" applyAlignment="1">
      <alignment horizontal="center" vertical="center" wrapText="1"/>
    </xf>
    <xf numFmtId="0" fontId="32" fillId="45" borderId="23" xfId="0" applyFont="1" applyFill="1" applyBorder="1" applyAlignment="1">
      <alignment horizontal="center" vertical="center" wrapText="1"/>
    </xf>
    <xf numFmtId="0" fontId="32" fillId="45" borderId="24" xfId="0" applyFont="1" applyFill="1" applyBorder="1" applyAlignment="1">
      <alignment horizontal="center" vertical="center" wrapText="1"/>
    </xf>
    <xf numFmtId="0" fontId="33" fillId="38" borderId="25" xfId="0" applyFont="1" applyFill="1" applyBorder="1" applyAlignment="1">
      <alignment horizontal="center" vertical="center" wrapText="1"/>
    </xf>
    <xf numFmtId="0" fontId="18" fillId="39" borderId="21" xfId="0" applyFont="1" applyFill="1" applyBorder="1" applyAlignment="1">
      <alignment horizontal="center" vertical="center" wrapText="1"/>
    </xf>
    <xf numFmtId="0" fontId="18" fillId="40" borderId="21" xfId="0" applyFont="1" applyFill="1" applyBorder="1" applyAlignment="1">
      <alignment horizontal="center" vertical="center" wrapText="1"/>
    </xf>
    <xf numFmtId="0" fontId="28" fillId="0" borderId="0" xfId="0" applyFont="1" applyAlignment="1">
      <alignment horizontal="center" vertical="center" wrapText="1"/>
    </xf>
    <xf numFmtId="0" fontId="35" fillId="41" borderId="21" xfId="0" applyFont="1" applyFill="1" applyBorder="1" applyAlignment="1">
      <alignment horizontal="center" vertical="center" wrapText="1"/>
    </xf>
    <xf numFmtId="0" fontId="27" fillId="0" borderId="0" xfId="0" applyFont="1" applyAlignment="1">
      <alignment horizontal="center" vertical="center" wrapText="1"/>
    </xf>
    <xf numFmtId="0" fontId="27" fillId="0" borderId="0" xfId="0" applyFont="1" applyAlignment="1">
      <alignment horizontal="center" vertical="center"/>
    </xf>
    <xf numFmtId="0" fontId="0" fillId="0" borderId="0" xfId="0" applyAlignment="1">
      <alignment horizontal="center" vertical="center" wrapText="1"/>
    </xf>
    <xf numFmtId="0" fontId="0" fillId="38" borderId="0" xfId="0" applyFill="1" applyAlignment="1">
      <alignment horizontal="center" vertical="center"/>
    </xf>
    <xf numFmtId="0" fontId="0" fillId="0" borderId="22" xfId="0" quotePrefix="1" applyBorder="1"/>
    <xf numFmtId="164" fontId="36" fillId="0" borderId="23" xfId="0" applyNumberFormat="1" applyFont="1" applyBorder="1" applyAlignment="1">
      <alignment horizontal="center" vertical="center" shrinkToFit="1"/>
    </xf>
    <xf numFmtId="0" fontId="37" fillId="0" borderId="26" xfId="0" applyFont="1" applyBorder="1" applyAlignment="1">
      <alignment horizontal="center" vertical="center" wrapText="1"/>
    </xf>
    <xf numFmtId="0" fontId="37" fillId="0" borderId="21" xfId="0" applyFont="1" applyBorder="1" applyAlignment="1">
      <alignment horizontal="center" vertical="center" wrapText="1"/>
    </xf>
    <xf numFmtId="3" fontId="0" fillId="0" borderId="0" xfId="0" applyNumberFormat="1" applyAlignment="1">
      <alignment horizontal="right" vertical="top"/>
    </xf>
    <xf numFmtId="3" fontId="0" fillId="0" borderId="21" xfId="0" applyNumberFormat="1" applyBorder="1" applyAlignment="1">
      <alignment horizontal="right" vertical="top"/>
    </xf>
    <xf numFmtId="165" fontId="0" fillId="0" borderId="0" xfId="43" applyNumberFormat="1" applyFont="1" applyAlignment="1">
      <alignment horizontal="center" vertical="top"/>
    </xf>
    <xf numFmtId="3" fontId="0" fillId="0" borderId="21" xfId="0" applyNumberFormat="1" applyBorder="1" applyAlignment="1">
      <alignment horizontal="right" vertical="center"/>
    </xf>
    <xf numFmtId="3" fontId="0" fillId="0" borderId="0" xfId="0" applyNumberFormat="1" applyAlignment="1">
      <alignment horizontal="center" vertical="center"/>
    </xf>
    <xf numFmtId="10" fontId="0" fillId="46" borderId="0" xfId="43" applyNumberFormat="1" applyFont="1" applyFill="1" applyAlignment="1">
      <alignment horizontal="center" vertical="center"/>
    </xf>
    <xf numFmtId="10" fontId="0" fillId="0" borderId="0" xfId="43" applyNumberFormat="1" applyFont="1" applyAlignment="1">
      <alignment horizontal="center" vertical="center"/>
    </xf>
    <xf numFmtId="0" fontId="0" fillId="0" borderId="22" xfId="0" applyBorder="1"/>
    <xf numFmtId="1" fontId="36" fillId="0" borderId="23" xfId="0" applyNumberFormat="1" applyFont="1" applyBorder="1" applyAlignment="1">
      <alignment horizontal="center" vertical="center" shrinkToFit="1"/>
    </xf>
    <xf numFmtId="0" fontId="37" fillId="38" borderId="26" xfId="0" applyFont="1" applyFill="1" applyBorder="1" applyAlignment="1">
      <alignment horizontal="center" vertical="center" wrapText="1"/>
    </xf>
    <xf numFmtId="3" fontId="0" fillId="38" borderId="0" xfId="0" applyNumberFormat="1" applyFill="1" applyAlignment="1">
      <alignment horizontal="right" vertical="top"/>
    </xf>
    <xf numFmtId="0" fontId="0" fillId="0" borderId="27" xfId="0" applyBorder="1"/>
    <xf numFmtId="0" fontId="0" fillId="0" borderId="0" xfId="0" applyAlignment="1">
      <alignment horizontal="left" vertical="center"/>
    </xf>
    <xf numFmtId="3" fontId="0" fillId="0" borderId="0" xfId="0" applyNumberFormat="1" applyAlignment="1">
      <alignment horizontal="right" vertical="center"/>
    </xf>
    <xf numFmtId="166" fontId="0" fillId="0" borderId="0" xfId="43" applyNumberFormat="1" applyFont="1" applyAlignment="1">
      <alignment horizontal="left" vertical="top"/>
    </xf>
    <xf numFmtId="10" fontId="0" fillId="0" borderId="0" xfId="0" applyNumberFormat="1" applyAlignment="1">
      <alignment horizontal="center" vertical="center"/>
    </xf>
    <xf numFmtId="9" fontId="0" fillId="0" borderId="0" xfId="43" applyFont="1" applyAlignment="1">
      <alignment horizontal="left" vertical="top"/>
    </xf>
    <xf numFmtId="0" fontId="20" fillId="0" borderId="0" xfId="0" applyFont="1"/>
    <xf numFmtId="164" fontId="31" fillId="47" borderId="0" xfId="0" applyNumberFormat="1" applyFont="1" applyFill="1" applyAlignment="1">
      <alignment horizontal="center" vertical="center" wrapText="1" shrinkToFit="1"/>
    </xf>
    <xf numFmtId="1" fontId="24" fillId="35" borderId="0" xfId="0" applyNumberFormat="1" applyFont="1" applyFill="1" applyAlignment="1">
      <alignment horizontal="center" vertical="center" wrapText="1"/>
    </xf>
    <xf numFmtId="1" fontId="37" fillId="47" borderId="23" xfId="0" applyNumberFormat="1" applyFont="1" applyFill="1" applyBorder="1" applyAlignment="1">
      <alignment horizontal="center" vertical="center" wrapText="1" shrinkToFit="1"/>
    </xf>
    <xf numFmtId="0" fontId="39" fillId="47" borderId="0" xfId="41" applyFont="1" applyFill="1" applyAlignment="1">
      <alignment wrapText="1"/>
    </xf>
    <xf numFmtId="0" fontId="0" fillId="0" borderId="0" xfId="0" applyAlignment="1">
      <alignment wrapText="1"/>
    </xf>
    <xf numFmtId="0" fontId="0" fillId="0" borderId="0" xfId="0" applyAlignment="1">
      <alignment horizontal="center" vertical="center"/>
    </xf>
    <xf numFmtId="0" fontId="32" fillId="0" borderId="0" xfId="0" applyFont="1" applyAlignment="1">
      <alignment horizontal="center" vertical="center"/>
    </xf>
    <xf numFmtId="0" fontId="32" fillId="0" borderId="0" xfId="0" applyFont="1" applyAlignment="1">
      <alignment horizontal="center" vertical="center" wrapText="1"/>
    </xf>
    <xf numFmtId="0" fontId="0" fillId="47" borderId="22" xfId="0" applyFill="1" applyBorder="1"/>
    <xf numFmtId="0" fontId="37" fillId="47" borderId="26" xfId="0" applyFont="1" applyFill="1" applyBorder="1" applyAlignment="1">
      <alignment horizontal="center" vertical="center" wrapText="1"/>
    </xf>
    <xf numFmtId="1" fontId="40" fillId="47" borderId="0" xfId="0" applyNumberFormat="1" applyFont="1" applyFill="1" applyAlignment="1">
      <alignment horizontal="center" vertical="center" wrapText="1" shrinkToFit="1"/>
    </xf>
    <xf numFmtId="0" fontId="39" fillId="43" borderId="0" xfId="41" applyFont="1" applyFill="1" applyAlignment="1">
      <alignment wrapText="1"/>
    </xf>
    <xf numFmtId="0" fontId="0" fillId="43" borderId="0" xfId="0" applyFill="1" applyAlignment="1">
      <alignment horizontal="left"/>
    </xf>
    <xf numFmtId="0" fontId="39" fillId="38" borderId="0" xfId="41" applyFont="1" applyFill="1" applyAlignment="1">
      <alignment wrapText="1"/>
    </xf>
    <xf numFmtId="0" fontId="38" fillId="48" borderId="26" xfId="0" applyFont="1" applyFill="1" applyBorder="1" applyAlignment="1">
      <alignment horizontal="center" vertical="center" wrapText="1"/>
    </xf>
    <xf numFmtId="0" fontId="39" fillId="38" borderId="0" xfId="41" applyFont="1" applyFill="1"/>
    <xf numFmtId="0" fontId="38" fillId="48" borderId="26" xfId="0" applyFont="1" applyFill="1" applyBorder="1" applyAlignment="1">
      <alignment horizontal="center" vertical="center"/>
    </xf>
    <xf numFmtId="0" fontId="41" fillId="0" borderId="0" xfId="0" applyFont="1"/>
    <xf numFmtId="0" fontId="0" fillId="38" borderId="0" xfId="0" applyFill="1"/>
    <xf numFmtId="0" fontId="0" fillId="48" borderId="0" xfId="0" applyFill="1"/>
    <xf numFmtId="0" fontId="39" fillId="43" borderId="0" xfId="41" applyFont="1" applyFill="1" applyAlignment="1">
      <alignment horizontal="left" wrapText="1"/>
    </xf>
    <xf numFmtId="0" fontId="39" fillId="38" borderId="0" xfId="41" applyFont="1" applyFill="1" applyAlignment="1">
      <alignment horizontal="left"/>
    </xf>
    <xf numFmtId="0" fontId="39" fillId="48" borderId="0" xfId="41" applyFont="1" applyFill="1" applyAlignment="1">
      <alignment horizontal="left"/>
    </xf>
    <xf numFmtId="0" fontId="20" fillId="0" borderId="0" xfId="0" applyFont="1" applyAlignment="1">
      <alignment wrapText="1"/>
    </xf>
    <xf numFmtId="0" fontId="37" fillId="40" borderId="26" xfId="0" applyFont="1" applyFill="1" applyBorder="1" applyAlignment="1">
      <alignment horizontal="center" vertical="center" wrapText="1"/>
    </xf>
    <xf numFmtId="1" fontId="24" fillId="38" borderId="0" xfId="0" applyNumberFormat="1" applyFont="1" applyFill="1" applyAlignment="1">
      <alignment horizontal="center" vertical="center" wrapText="1"/>
    </xf>
    <xf numFmtId="164" fontId="31" fillId="38" borderId="0" xfId="0" applyNumberFormat="1" applyFont="1" applyFill="1" applyAlignment="1">
      <alignment horizontal="center" vertical="center" wrapText="1" shrinkToFit="1"/>
    </xf>
    <xf numFmtId="0" fontId="0" fillId="49" borderId="0" xfId="0" applyFill="1"/>
    <xf numFmtId="0" fontId="0" fillId="49" borderId="0" xfId="0" applyFill="1" applyAlignment="1">
      <alignment wrapText="1"/>
    </xf>
    <xf numFmtId="1" fontId="24" fillId="49" borderId="0" xfId="0" applyNumberFormat="1" applyFont="1" applyFill="1" applyAlignment="1">
      <alignment horizontal="center" vertical="center" wrapText="1"/>
    </xf>
    <xf numFmtId="9" fontId="0" fillId="0" borderId="0" xfId="0" applyNumberFormat="1"/>
    <xf numFmtId="0" fontId="42" fillId="0" borderId="0" xfId="0" applyFont="1"/>
    <xf numFmtId="0" fontId="0" fillId="47" borderId="0" xfId="0" applyFill="1"/>
    <xf numFmtId="0" fontId="0" fillId="46" borderId="0" xfId="0" applyFill="1"/>
    <xf numFmtId="0" fontId="0" fillId="46" borderId="0" xfId="0" applyFill="1" applyAlignment="1">
      <alignment wrapText="1"/>
    </xf>
    <xf numFmtId="1" fontId="24" fillId="46" borderId="0" xfId="0" applyNumberFormat="1" applyFont="1" applyFill="1" applyAlignment="1">
      <alignment horizontal="center" vertical="center" wrapText="1"/>
    </xf>
    <xf numFmtId="0" fontId="0" fillId="46" borderId="27" xfId="0" applyFill="1" applyBorder="1" applyAlignment="1">
      <alignment wrapText="1"/>
    </xf>
    <xf numFmtId="0" fontId="41" fillId="46" borderId="0" xfId="0" applyFont="1" applyFill="1"/>
    <xf numFmtId="0" fontId="32" fillId="0" borderId="21" xfId="0" applyFont="1" applyBorder="1" applyAlignment="1">
      <alignment horizontal="center" vertical="center" wrapText="1"/>
    </xf>
    <xf numFmtId="9" fontId="0" fillId="0" borderId="21" xfId="0" applyNumberFormat="1" applyBorder="1" applyAlignment="1">
      <alignment horizontal="center" vertical="center"/>
    </xf>
    <xf numFmtId="167" fontId="20" fillId="0" borderId="21" xfId="0" applyNumberFormat="1" applyFont="1" applyBorder="1" applyAlignment="1">
      <alignment horizontal="center" vertical="center"/>
    </xf>
    <xf numFmtId="3" fontId="0" fillId="0" borderId="0" xfId="0" applyNumberFormat="1"/>
    <xf numFmtId="3" fontId="0" fillId="0" borderId="21" xfId="0" applyNumberFormat="1" applyBorder="1" applyAlignment="1">
      <alignment horizontal="center" vertical="center"/>
    </xf>
    <xf numFmtId="3" fontId="0" fillId="0" borderId="0" xfId="0" applyNumberFormat="1" applyAlignment="1">
      <alignment vertical="center"/>
    </xf>
    <xf numFmtId="0" fontId="39" fillId="47" borderId="0" xfId="41" applyFont="1" applyFill="1" applyAlignment="1">
      <alignment vertical="center" wrapText="1"/>
    </xf>
    <xf numFmtId="0" fontId="0" fillId="40" borderId="27" xfId="0" applyFill="1" applyBorder="1" applyAlignment="1">
      <alignment vertical="center" wrapText="1"/>
    </xf>
    <xf numFmtId="165" fontId="0" fillId="0" borderId="0" xfId="43" applyNumberFormat="1" applyFont="1"/>
    <xf numFmtId="167" fontId="0" fillId="0" borderId="21" xfId="0" applyNumberFormat="1" applyBorder="1" applyAlignment="1">
      <alignment horizontal="center" vertical="center"/>
    </xf>
    <xf numFmtId="0" fontId="20" fillId="0" borderId="21" xfId="0" applyFont="1" applyBorder="1" applyAlignment="1">
      <alignment horizontal="center" vertical="center" wrapText="1"/>
    </xf>
    <xf numFmtId="3" fontId="20" fillId="0" borderId="0" xfId="0" applyNumberFormat="1" applyFont="1"/>
    <xf numFmtId="3" fontId="37" fillId="0" borderId="0" xfId="0" applyNumberFormat="1" applyFont="1"/>
    <xf numFmtId="165" fontId="0" fillId="0" borderId="0" xfId="43" applyNumberFormat="1" applyFont="1" applyAlignment="1">
      <alignment horizontal="right"/>
    </xf>
    <xf numFmtId="0" fontId="37" fillId="39" borderId="21" xfId="0" applyFont="1" applyFill="1" applyBorder="1" applyAlignment="1">
      <alignment horizontal="center" vertical="center" wrapText="1"/>
    </xf>
    <xf numFmtId="0" fontId="37" fillId="51" borderId="21" xfId="0" applyFont="1" applyFill="1" applyBorder="1" applyAlignment="1">
      <alignment horizontal="center" vertical="center" wrapText="1"/>
    </xf>
    <xf numFmtId="3" fontId="0" fillId="51" borderId="21" xfId="0" applyNumberFormat="1" applyFill="1" applyBorder="1" applyAlignment="1">
      <alignment horizontal="center" vertical="center"/>
    </xf>
    <xf numFmtId="0" fontId="20" fillId="51" borderId="21" xfId="0" applyFont="1" applyFill="1" applyBorder="1" applyAlignment="1">
      <alignment horizontal="center" vertical="center" wrapText="1"/>
    </xf>
    <xf numFmtId="3" fontId="0" fillId="51" borderId="21" xfId="0" applyNumberFormat="1" applyFill="1" applyBorder="1" applyAlignment="1">
      <alignment horizontal="center"/>
    </xf>
    <xf numFmtId="3" fontId="37" fillId="0" borderId="0" xfId="0" applyNumberFormat="1" applyFont="1" applyAlignment="1">
      <alignment horizontal="right"/>
    </xf>
    <xf numFmtId="9" fontId="0" fillId="0" borderId="0" xfId="43" applyFont="1" applyAlignment="1">
      <alignment horizontal="center"/>
    </xf>
    <xf numFmtId="3" fontId="22" fillId="36" borderId="0" xfId="0" applyNumberFormat="1" applyFont="1" applyFill="1"/>
    <xf numFmtId="0" fontId="24" fillId="35" borderId="0" xfId="0" applyFont="1" applyFill="1" applyAlignment="1">
      <alignment horizontal="center" vertical="center"/>
    </xf>
    <xf numFmtId="0" fontId="21" fillId="35" borderId="10" xfId="0" applyFont="1" applyFill="1" applyBorder="1" applyAlignment="1">
      <alignment horizontal="left" vertical="center"/>
    </xf>
    <xf numFmtId="0" fontId="21" fillId="35" borderId="11" xfId="0" applyFont="1" applyFill="1" applyBorder="1" applyAlignment="1">
      <alignment horizontal="left" vertical="center"/>
    </xf>
    <xf numFmtId="0" fontId="21" fillId="35" borderId="12" xfId="0" applyFont="1" applyFill="1" applyBorder="1" applyAlignment="1">
      <alignment horizontal="left" vertical="center"/>
    </xf>
    <xf numFmtId="0" fontId="23" fillId="36" borderId="0" xfId="0" applyFont="1" applyFill="1" applyAlignment="1">
      <alignment horizontal="left"/>
    </xf>
    <xf numFmtId="0" fontId="24" fillId="35" borderId="0" xfId="0" applyFont="1" applyFill="1" applyAlignment="1">
      <alignment horizontal="left" vertical="center"/>
    </xf>
    <xf numFmtId="165" fontId="0" fillId="0" borderId="0" xfId="43" applyNumberFormat="1" applyFont="1" applyAlignment="1">
      <alignment horizontal="center" vertical="center"/>
    </xf>
    <xf numFmtId="9" fontId="45" fillId="46" borderId="0" xfId="0" applyNumberFormat="1" applyFont="1" applyFill="1" applyAlignment="1">
      <alignment horizontal="center"/>
    </xf>
    <xf numFmtId="3" fontId="0" fillId="48" borderId="21" xfId="0" applyNumberFormat="1" applyFill="1" applyBorder="1" applyAlignment="1">
      <alignment horizontal="center" vertical="center"/>
    </xf>
    <xf numFmtId="3" fontId="0" fillId="48" borderId="0" xfId="0" applyNumberFormat="1" applyFill="1" applyAlignment="1">
      <alignment horizontal="center" vertical="center"/>
    </xf>
    <xf numFmtId="9" fontId="0" fillId="0" borderId="0" xfId="0" applyNumberFormat="1" applyAlignment="1">
      <alignment horizontal="center" vertical="center"/>
    </xf>
    <xf numFmtId="167" fontId="20" fillId="0" borderId="0" xfId="0" applyNumberFormat="1" applyFont="1" applyAlignment="1">
      <alignment horizontal="center" vertical="center"/>
    </xf>
    <xf numFmtId="0" fontId="37" fillId="47" borderId="0" xfId="0" applyFont="1" applyFill="1" applyAlignment="1">
      <alignment horizontal="center" vertical="center" wrapText="1"/>
    </xf>
    <xf numFmtId="0" fontId="0" fillId="47" borderId="0" xfId="0" applyFill="1" applyAlignment="1">
      <alignment vertical="center" wrapText="1"/>
    </xf>
    <xf numFmtId="3" fontId="20" fillId="0" borderId="0" xfId="0" applyNumberFormat="1" applyFont="1" applyAlignment="1">
      <alignment horizontal="center" vertical="center"/>
    </xf>
    <xf numFmtId="0" fontId="32" fillId="0" borderId="25" xfId="0" applyFont="1" applyBorder="1" applyAlignment="1">
      <alignment horizontal="center" vertical="center" wrapText="1"/>
    </xf>
    <xf numFmtId="0" fontId="20" fillId="0" borderId="21" xfId="0" applyFont="1" applyBorder="1"/>
    <xf numFmtId="9" fontId="0" fillId="0" borderId="21" xfId="0" applyNumberFormat="1" applyBorder="1"/>
    <xf numFmtId="1" fontId="24" fillId="47" borderId="0" xfId="0" applyNumberFormat="1" applyFont="1" applyFill="1" applyAlignment="1">
      <alignment horizontal="center" vertical="center" wrapText="1"/>
    </xf>
    <xf numFmtId="3" fontId="0" fillId="47" borderId="0" xfId="0" applyNumberFormat="1" applyFill="1" applyAlignment="1">
      <alignment horizontal="center" vertical="center"/>
    </xf>
    <xf numFmtId="3" fontId="0" fillId="47" borderId="0" xfId="0" applyNumberFormat="1" applyFill="1" applyAlignment="1">
      <alignment vertical="center"/>
    </xf>
    <xf numFmtId="3" fontId="0" fillId="47" borderId="21" xfId="0" applyNumberFormat="1" applyFill="1" applyBorder="1" applyAlignment="1">
      <alignment horizontal="center" vertical="center"/>
    </xf>
    <xf numFmtId="9" fontId="0" fillId="47" borderId="21" xfId="0" applyNumberFormat="1" applyFill="1" applyBorder="1" applyAlignment="1">
      <alignment horizontal="center" vertical="center"/>
    </xf>
    <xf numFmtId="167" fontId="20" fillId="47" borderId="21" xfId="0" applyNumberFormat="1" applyFont="1" applyFill="1" applyBorder="1" applyAlignment="1">
      <alignment horizontal="center" vertical="center"/>
    </xf>
    <xf numFmtId="9" fontId="0" fillId="47" borderId="0" xfId="0" applyNumberFormat="1" applyFill="1"/>
    <xf numFmtId="0" fontId="0" fillId="0" borderId="0" xfId="0" applyAlignment="1">
      <alignment horizontal="center"/>
    </xf>
    <xf numFmtId="0" fontId="16" fillId="0" borderId="0" xfId="0" applyFont="1" applyAlignment="1">
      <alignment horizontal="center"/>
    </xf>
    <xf numFmtId="0" fontId="0" fillId="39" borderId="21" xfId="0" applyFill="1" applyBorder="1" applyAlignment="1">
      <alignment horizontal="right"/>
    </xf>
    <xf numFmtId="0" fontId="50" fillId="0" borderId="0" xfId="0" applyFont="1" applyAlignment="1">
      <alignment horizontal="center"/>
    </xf>
    <xf numFmtId="0" fontId="18" fillId="0" borderId="21" xfId="0" applyFont="1" applyBorder="1" applyAlignment="1">
      <alignment vertical="top"/>
    </xf>
    <xf numFmtId="0" fontId="18" fillId="0" borderId="25" xfId="0" applyFont="1" applyBorder="1" applyAlignment="1">
      <alignment vertical="top"/>
    </xf>
    <xf numFmtId="168" fontId="0" fillId="0" borderId="25" xfId="0" applyNumberFormat="1" applyBorder="1" applyAlignment="1">
      <alignment vertical="top"/>
    </xf>
    <xf numFmtId="0" fontId="18" fillId="0" borderId="33" xfId="0" applyFont="1" applyBorder="1" applyAlignment="1">
      <alignment vertical="top"/>
    </xf>
    <xf numFmtId="168" fontId="0" fillId="0" borderId="33" xfId="0" applyNumberFormat="1" applyBorder="1" applyAlignment="1">
      <alignment vertical="top"/>
    </xf>
    <xf numFmtId="0" fontId="18" fillId="0" borderId="29" xfId="0" applyFont="1" applyBorder="1" applyAlignment="1">
      <alignment vertical="top"/>
    </xf>
    <xf numFmtId="0" fontId="18" fillId="0" borderId="34" xfId="0" applyFont="1" applyBorder="1" applyAlignment="1">
      <alignment vertical="top"/>
    </xf>
    <xf numFmtId="168" fontId="0" fillId="0" borderId="34" xfId="0" applyNumberFormat="1" applyBorder="1" applyAlignment="1">
      <alignment vertical="top"/>
    </xf>
    <xf numFmtId="9" fontId="0" fillId="0" borderId="33" xfId="43" applyFont="1" applyBorder="1" applyAlignment="1">
      <alignment vertical="top"/>
    </xf>
    <xf numFmtId="9" fontId="0" fillId="0" borderId="25" xfId="43" applyFont="1" applyBorder="1" applyAlignment="1">
      <alignment vertical="top"/>
    </xf>
    <xf numFmtId="0" fontId="49" fillId="0" borderId="33" xfId="0" applyFont="1" applyBorder="1" applyAlignment="1">
      <alignment vertical="top"/>
    </xf>
    <xf numFmtId="9" fontId="0" fillId="0" borderId="34" xfId="43" applyFont="1" applyBorder="1" applyAlignment="1">
      <alignment vertical="top"/>
    </xf>
    <xf numFmtId="168" fontId="0" fillId="0" borderId="33" xfId="74" applyNumberFormat="1" applyFont="1" applyFill="1" applyBorder="1" applyAlignment="1">
      <alignment vertical="top"/>
    </xf>
    <xf numFmtId="168" fontId="0" fillId="0" borderId="30" xfId="74" applyNumberFormat="1" applyFont="1" applyFill="1" applyBorder="1" applyAlignment="1">
      <alignment vertical="top"/>
    </xf>
    <xf numFmtId="168" fontId="0" fillId="0" borderId="25" xfId="74" applyNumberFormat="1" applyFont="1" applyFill="1" applyBorder="1" applyAlignment="1">
      <alignment vertical="top"/>
    </xf>
    <xf numFmtId="0" fontId="49" fillId="0" borderId="29" xfId="0" applyFont="1" applyBorder="1" applyAlignment="1">
      <alignment vertical="top"/>
    </xf>
    <xf numFmtId="168" fontId="0" fillId="0" borderId="34" xfId="74" applyNumberFormat="1" applyFont="1" applyFill="1" applyBorder="1" applyAlignment="1">
      <alignment vertical="top"/>
    </xf>
    <xf numFmtId="168" fontId="0" fillId="0" borderId="33" xfId="74" applyNumberFormat="1" applyFont="1" applyBorder="1" applyAlignment="1">
      <alignment vertical="top"/>
    </xf>
    <xf numFmtId="168" fontId="0" fillId="0" borderId="30" xfId="74" applyNumberFormat="1" applyFont="1" applyBorder="1" applyAlignment="1">
      <alignment vertical="top"/>
    </xf>
    <xf numFmtId="168" fontId="0" fillId="0" borderId="34" xfId="74" applyNumberFormat="1" applyFont="1" applyBorder="1" applyAlignment="1">
      <alignment vertical="top"/>
    </xf>
    <xf numFmtId="168" fontId="0" fillId="0" borderId="25" xfId="74" applyNumberFormat="1" applyFont="1" applyBorder="1" applyAlignment="1">
      <alignment vertical="top"/>
    </xf>
    <xf numFmtId="168" fontId="49" fillId="0" borderId="33" xfId="0" applyNumberFormat="1" applyFont="1" applyBorder="1" applyAlignment="1">
      <alignment vertical="top"/>
    </xf>
    <xf numFmtId="0" fontId="0" fillId="0" borderId="33" xfId="0" applyBorder="1" applyAlignment="1">
      <alignment vertical="top"/>
    </xf>
    <xf numFmtId="168" fontId="49" fillId="0" borderId="30" xfId="0" applyNumberFormat="1" applyFont="1" applyBorder="1" applyAlignment="1">
      <alignment vertical="top"/>
    </xf>
    <xf numFmtId="0" fontId="0" fillId="0" borderId="34" xfId="0" applyBorder="1" applyAlignment="1">
      <alignment vertical="top"/>
    </xf>
    <xf numFmtId="168" fontId="49" fillId="0" borderId="34" xfId="0" applyNumberFormat="1" applyFont="1" applyBorder="1" applyAlignment="1">
      <alignment vertical="top"/>
    </xf>
    <xf numFmtId="0" fontId="0" fillId="0" borderId="0" xfId="0" applyAlignment="1">
      <alignment vertical="top"/>
    </xf>
    <xf numFmtId="168" fontId="0" fillId="0" borderId="0" xfId="74" applyNumberFormat="1" applyFont="1" applyAlignment="1">
      <alignment vertical="top"/>
    </xf>
    <xf numFmtId="9" fontId="0" fillId="0" borderId="0" xfId="0" applyNumberFormat="1" applyAlignment="1">
      <alignment vertical="top"/>
    </xf>
    <xf numFmtId="9" fontId="0" fillId="39" borderId="32" xfId="0" applyNumberFormat="1" applyFill="1" applyBorder="1"/>
    <xf numFmtId="0" fontId="20" fillId="53" borderId="21" xfId="0" applyFont="1" applyFill="1" applyBorder="1"/>
    <xf numFmtId="9" fontId="0" fillId="53" borderId="21" xfId="0" applyNumberFormat="1" applyFill="1" applyBorder="1"/>
    <xf numFmtId="10" fontId="1" fillId="53" borderId="21" xfId="0" applyNumberFormat="1" applyFont="1" applyFill="1" applyBorder="1" applyAlignment="1">
      <alignment horizontal="right"/>
    </xf>
    <xf numFmtId="0" fontId="18" fillId="0" borderId="0" xfId="0" applyFont="1" applyAlignment="1">
      <alignment vertical="top"/>
    </xf>
    <xf numFmtId="168" fontId="0" fillId="0" borderId="0" xfId="0" applyNumberFormat="1" applyAlignment="1">
      <alignment vertical="top"/>
    </xf>
    <xf numFmtId="168" fontId="0" fillId="0" borderId="0" xfId="0" applyNumberFormat="1"/>
    <xf numFmtId="9" fontId="0" fillId="0" borderId="0" xfId="43" applyFont="1" applyFill="1" applyBorder="1" applyAlignment="1">
      <alignment vertical="top"/>
    </xf>
    <xf numFmtId="168" fontId="0" fillId="0" borderId="0" xfId="74" applyNumberFormat="1" applyFont="1" applyFill="1" applyBorder="1" applyAlignment="1">
      <alignment vertical="top"/>
    </xf>
    <xf numFmtId="168" fontId="49" fillId="0" borderId="0" xfId="0" applyNumberFormat="1" applyFont="1" applyAlignment="1">
      <alignment vertical="top"/>
    </xf>
    <xf numFmtId="168" fontId="18" fillId="0" borderId="0" xfId="0" applyNumberFormat="1" applyFont="1"/>
    <xf numFmtId="0" fontId="0" fillId="0" borderId="0" xfId="0" applyAlignment="1">
      <alignment horizontal="center" vertical="top"/>
    </xf>
    <xf numFmtId="0" fontId="52" fillId="0" borderId="0" xfId="0" applyFont="1" applyAlignment="1">
      <alignment wrapText="1"/>
    </xf>
    <xf numFmtId="9" fontId="32" fillId="0" borderId="0" xfId="0" applyNumberFormat="1" applyFont="1" applyAlignment="1">
      <alignment horizontal="center" vertical="center"/>
    </xf>
    <xf numFmtId="9" fontId="20" fillId="0" borderId="0" xfId="0" applyNumberFormat="1" applyFont="1" applyAlignment="1">
      <alignment horizontal="center" vertical="center"/>
    </xf>
    <xf numFmtId="0" fontId="20" fillId="0" borderId="0" xfId="0" applyFont="1" applyAlignment="1">
      <alignment vertical="top"/>
    </xf>
    <xf numFmtId="9" fontId="45" fillId="0" borderId="0" xfId="0" applyNumberFormat="1" applyFont="1" applyAlignment="1">
      <alignment horizontal="center" vertical="center"/>
    </xf>
    <xf numFmtId="0" fontId="48" fillId="0" borderId="0" xfId="0" applyFont="1"/>
    <xf numFmtId="165" fontId="45" fillId="0" borderId="0" xfId="0" applyNumberFormat="1" applyFont="1" applyAlignment="1">
      <alignment horizontal="center" vertical="center"/>
    </xf>
    <xf numFmtId="1" fontId="24" fillId="54" borderId="0" xfId="0" applyNumberFormat="1" applyFont="1" applyFill="1" applyAlignment="1">
      <alignment horizontal="center" vertical="center" wrapText="1"/>
    </xf>
    <xf numFmtId="164" fontId="31" fillId="54" borderId="0" xfId="0" applyNumberFormat="1" applyFont="1" applyFill="1" applyAlignment="1">
      <alignment horizontal="center" vertical="center" wrapText="1" shrinkToFit="1"/>
    </xf>
    <xf numFmtId="3" fontId="0" fillId="54" borderId="0" xfId="0" applyNumberFormat="1" applyFill="1" applyAlignment="1">
      <alignment horizontal="center" vertical="center"/>
    </xf>
    <xf numFmtId="3" fontId="0" fillId="54" borderId="0" xfId="0" applyNumberFormat="1" applyFill="1" applyAlignment="1">
      <alignment vertical="center"/>
    </xf>
    <xf numFmtId="3" fontId="0" fillId="54" borderId="21" xfId="0" applyNumberFormat="1" applyFill="1" applyBorder="1" applyAlignment="1">
      <alignment horizontal="center" vertical="center"/>
    </xf>
    <xf numFmtId="9" fontId="0" fillId="54" borderId="21" xfId="0" applyNumberFormat="1" applyFill="1" applyBorder="1" applyAlignment="1">
      <alignment horizontal="center" vertical="center"/>
    </xf>
    <xf numFmtId="167" fontId="20" fillId="54" borderId="21" xfId="0" applyNumberFormat="1" applyFont="1" applyFill="1" applyBorder="1" applyAlignment="1">
      <alignment horizontal="center" vertical="center"/>
    </xf>
    <xf numFmtId="9" fontId="0" fillId="54" borderId="0" xfId="0" applyNumberFormat="1" applyFill="1"/>
    <xf numFmtId="0" fontId="0" fillId="54" borderId="0" xfId="0" applyFill="1"/>
    <xf numFmtId="3" fontId="32" fillId="0" borderId="0" xfId="0" applyNumberFormat="1" applyFont="1" applyAlignment="1">
      <alignment horizontal="center" vertical="center"/>
    </xf>
    <xf numFmtId="9" fontId="32" fillId="0" borderId="0" xfId="0" applyNumberFormat="1" applyFont="1"/>
    <xf numFmtId="0" fontId="0" fillId="0" borderId="21" xfId="0" applyBorder="1"/>
    <xf numFmtId="0" fontId="0" fillId="54" borderId="21" xfId="0" applyFill="1" applyBorder="1"/>
    <xf numFmtId="0" fontId="28" fillId="42" borderId="21" xfId="0" applyFont="1" applyFill="1" applyBorder="1" applyAlignment="1">
      <alignment horizontal="center" vertical="center" wrapText="1"/>
    </xf>
    <xf numFmtId="0" fontId="28" fillId="0" borderId="21" xfId="0" applyFont="1" applyBorder="1" applyAlignment="1">
      <alignment horizontal="center" vertical="center" wrapText="1"/>
    </xf>
    <xf numFmtId="0" fontId="27" fillId="42" borderId="0" xfId="0" applyFont="1" applyFill="1" applyAlignment="1">
      <alignment horizontal="center" vertical="top"/>
    </xf>
    <xf numFmtId="0" fontId="0" fillId="42" borderId="0" xfId="0" applyFill="1" applyAlignment="1">
      <alignment horizontal="center" vertical="top"/>
    </xf>
    <xf numFmtId="0" fontId="27" fillId="42" borderId="0" xfId="0" applyFont="1" applyFill="1" applyAlignment="1">
      <alignment horizontal="center" vertical="center"/>
    </xf>
    <xf numFmtId="0" fontId="27" fillId="38" borderId="0" xfId="0" applyFont="1" applyFill="1" applyAlignment="1">
      <alignment horizontal="center" vertical="center"/>
    </xf>
    <xf numFmtId="0" fontId="0" fillId="40" borderId="28" xfId="0" applyFill="1" applyBorder="1" applyAlignment="1">
      <alignment horizontal="center" vertical="center" wrapText="1"/>
    </xf>
    <xf numFmtId="0" fontId="0" fillId="40" borderId="0" xfId="0" applyFill="1" applyAlignment="1">
      <alignment horizontal="center" vertical="center" wrapText="1"/>
    </xf>
    <xf numFmtId="0" fontId="20" fillId="38" borderId="0" xfId="0" applyFont="1" applyFill="1" applyAlignment="1">
      <alignment horizontal="center" vertical="center" wrapText="1"/>
    </xf>
    <xf numFmtId="0" fontId="0" fillId="38" borderId="0" xfId="0" applyFill="1" applyAlignment="1">
      <alignment horizontal="center" vertical="center" wrapText="1"/>
    </xf>
    <xf numFmtId="0" fontId="32" fillId="48" borderId="21" xfId="0" applyFont="1" applyFill="1" applyBorder="1" applyAlignment="1">
      <alignment horizontal="center" vertical="center"/>
    </xf>
    <xf numFmtId="0" fontId="32" fillId="48" borderId="0" xfId="0" applyFont="1" applyFill="1" applyAlignment="1">
      <alignment horizontal="center"/>
    </xf>
    <xf numFmtId="0" fontId="32" fillId="49" borderId="21" xfId="0" applyFont="1" applyFill="1" applyBorder="1" applyAlignment="1">
      <alignment horizontal="center" vertical="center"/>
    </xf>
    <xf numFmtId="0" fontId="32" fillId="51" borderId="29" xfId="0" applyFont="1" applyFill="1" applyBorder="1" applyAlignment="1">
      <alignment horizontal="center"/>
    </xf>
    <xf numFmtId="0" fontId="32" fillId="51" borderId="0" xfId="0" applyFont="1" applyFill="1" applyAlignment="1">
      <alignment horizontal="center"/>
    </xf>
    <xf numFmtId="0" fontId="32" fillId="51" borderId="30" xfId="0" applyFont="1" applyFill="1" applyBorder="1" applyAlignment="1">
      <alignment horizontal="center"/>
    </xf>
    <xf numFmtId="0" fontId="37" fillId="51" borderId="21" xfId="0" applyFont="1" applyFill="1" applyBorder="1" applyAlignment="1">
      <alignment horizontal="center" vertical="center" wrapText="1"/>
    </xf>
    <xf numFmtId="0" fontId="46" fillId="46" borderId="0" xfId="0" applyFont="1" applyFill="1" applyAlignment="1">
      <alignment horizontal="center" vertical="center" wrapText="1"/>
    </xf>
    <xf numFmtId="0" fontId="41" fillId="46" borderId="31" xfId="0" applyFont="1" applyFill="1" applyBorder="1" applyAlignment="1">
      <alignment horizontal="center"/>
    </xf>
    <xf numFmtId="0" fontId="32" fillId="50" borderId="21" xfId="0" applyFont="1" applyFill="1" applyBorder="1" applyAlignment="1">
      <alignment horizontal="center" vertical="center"/>
    </xf>
    <xf numFmtId="0" fontId="32" fillId="49" borderId="0" xfId="0" applyFont="1" applyFill="1" applyAlignment="1">
      <alignment horizontal="center" wrapText="1"/>
    </xf>
    <xf numFmtId="0" fontId="32" fillId="52" borderId="21" xfId="0" applyFont="1" applyFill="1" applyBorder="1" applyAlignment="1">
      <alignment horizontal="center" vertical="center"/>
    </xf>
    <xf numFmtId="0" fontId="32" fillId="52" borderId="0" xfId="0" applyFont="1" applyFill="1" applyAlignment="1">
      <alignment horizontal="center" vertical="center" wrapText="1"/>
    </xf>
    <xf numFmtId="0" fontId="41" fillId="46" borderId="29" xfId="0" applyFont="1" applyFill="1" applyBorder="1" applyAlignment="1">
      <alignment horizontal="center"/>
    </xf>
    <xf numFmtId="0" fontId="41" fillId="46" borderId="0" xfId="0" applyFont="1" applyFill="1" applyAlignment="1">
      <alignment horizontal="center"/>
    </xf>
    <xf numFmtId="0" fontId="48" fillId="0" borderId="0" xfId="0" applyFont="1" applyAlignment="1">
      <alignment horizontal="center"/>
    </xf>
    <xf numFmtId="0" fontId="49" fillId="39" borderId="25" xfId="0" applyFont="1" applyFill="1" applyBorder="1" applyAlignment="1">
      <alignment horizontal="center" vertical="center" wrapText="1"/>
    </xf>
    <xf numFmtId="0" fontId="49" fillId="39" borderId="34" xfId="0" applyFont="1" applyFill="1" applyBorder="1" applyAlignment="1">
      <alignment horizontal="center" vertical="center" wrapText="1"/>
    </xf>
    <xf numFmtId="0" fontId="18" fillId="0" borderId="0" xfId="0" applyFont="1" applyAlignment="1">
      <alignment horizontal="center" vertical="center" wrapText="1"/>
    </xf>
    <xf numFmtId="0" fontId="51" fillId="43" borderId="0" xfId="0" applyFont="1" applyFill="1" applyAlignment="1">
      <alignment horizontal="center" vertical="center"/>
    </xf>
    <xf numFmtId="0" fontId="0" fillId="0" borderId="0" xfId="0" applyAlignment="1">
      <alignment horizontal="center" wrapText="1"/>
    </xf>
    <xf numFmtId="0" fontId="0" fillId="0" borderId="0" xfId="0" applyAlignment="1">
      <alignment horizontal="center" vertical="center" wrapText="1"/>
    </xf>
    <xf numFmtId="0" fontId="53" fillId="53" borderId="21" xfId="0" applyFont="1" applyFill="1" applyBorder="1" applyAlignment="1">
      <alignment horizontal="center" vertical="center" wrapText="1"/>
    </xf>
    <xf numFmtId="0" fontId="54" fillId="53" borderId="21" xfId="0" applyFont="1" applyFill="1" applyBorder="1" applyAlignment="1">
      <alignment horizontal="center" vertical="center" wrapText="1"/>
    </xf>
    <xf numFmtId="0" fontId="32" fillId="0" borderId="0" xfId="0" applyFont="1" applyFill="1" applyBorder="1" applyAlignment="1">
      <alignment horizontal="center" vertical="center" wrapText="1"/>
    </xf>
    <xf numFmtId="3" fontId="32" fillId="0" borderId="0" xfId="0" applyNumberFormat="1" applyFont="1" applyFill="1" applyBorder="1" applyAlignment="1">
      <alignment horizontal="center" vertical="center" wrapText="1"/>
    </xf>
    <xf numFmtId="3" fontId="20" fillId="54" borderId="0" xfId="0" applyNumberFormat="1" applyFont="1" applyFill="1"/>
    <xf numFmtId="0" fontId="0" fillId="0" borderId="0" xfId="0" applyAlignment="1">
      <alignment horizontal="center"/>
    </xf>
    <xf numFmtId="0" fontId="18" fillId="0" borderId="0" xfId="0" applyFont="1" applyAlignment="1">
      <alignment horizontal="center"/>
    </xf>
    <xf numFmtId="0" fontId="0" fillId="0" borderId="0" xfId="0" applyAlignment="1">
      <alignment horizontal="center" vertical="top" wrapText="1"/>
    </xf>
    <xf numFmtId="0" fontId="20" fillId="0" borderId="0" xfId="0" applyFont="1" applyAlignment="1">
      <alignment horizontal="center" vertical="top" wrapText="1"/>
    </xf>
    <xf numFmtId="0" fontId="20" fillId="0" borderId="0" xfId="0" applyFont="1" applyAlignment="1">
      <alignment horizontal="center" wrapText="1"/>
    </xf>
    <xf numFmtId="0" fontId="32" fillId="0" borderId="0" xfId="0" applyFont="1" applyBorder="1" applyAlignment="1">
      <alignment horizontal="center" vertical="center" wrapText="1"/>
    </xf>
    <xf numFmtId="0" fontId="0" fillId="0" borderId="0" xfId="0" applyBorder="1"/>
    <xf numFmtId="0" fontId="32" fillId="0" borderId="0" xfId="0" applyFont="1"/>
    <xf numFmtId="9" fontId="41" fillId="0" borderId="0" xfId="0" applyNumberFormat="1" applyFont="1"/>
    <xf numFmtId="0" fontId="45" fillId="0" borderId="0" xfId="0" applyFont="1" applyFill="1" applyBorder="1" applyAlignment="1">
      <alignment horizontal="center" vertical="center" wrapText="1"/>
    </xf>
    <xf numFmtId="1" fontId="0" fillId="0" borderId="0" xfId="0" applyNumberFormat="1"/>
    <xf numFmtId="1" fontId="57" fillId="47" borderId="0" xfId="0" applyNumberFormat="1" applyFont="1" applyFill="1" applyAlignment="1">
      <alignment horizontal="center" vertical="center" wrapText="1"/>
    </xf>
    <xf numFmtId="0" fontId="59" fillId="47" borderId="0" xfId="0" applyFont="1" applyFill="1"/>
    <xf numFmtId="0" fontId="58" fillId="47" borderId="0" xfId="41" applyFont="1" applyFill="1" applyAlignment="1">
      <alignment wrapText="1"/>
    </xf>
    <xf numFmtId="0" fontId="59" fillId="47" borderId="0" xfId="0" applyFont="1" applyFill="1" applyAlignment="1">
      <alignment wrapText="1"/>
    </xf>
    <xf numFmtId="1" fontId="43" fillId="47" borderId="23" xfId="0" applyNumberFormat="1" applyFont="1" applyFill="1" applyBorder="1" applyAlignment="1">
      <alignment horizontal="center" vertical="center" shrinkToFit="1"/>
    </xf>
    <xf numFmtId="0" fontId="20" fillId="0" borderId="0" xfId="0" applyFont="1" applyBorder="1"/>
    <xf numFmtId="0" fontId="58" fillId="47" borderId="0" xfId="41" applyFont="1" applyFill="1" applyBorder="1" applyAlignment="1">
      <alignment vertical="center" wrapText="1"/>
    </xf>
    <xf numFmtId="1" fontId="57" fillId="47" borderId="0" xfId="0" applyNumberFormat="1" applyFont="1" applyFill="1" applyBorder="1" applyAlignment="1">
      <alignment horizontal="center" vertical="center" wrapText="1"/>
    </xf>
    <xf numFmtId="1" fontId="57" fillId="46" borderId="0" xfId="0" applyNumberFormat="1" applyFont="1" applyFill="1" applyAlignment="1">
      <alignment horizontal="center" vertical="center" wrapText="1"/>
    </xf>
    <xf numFmtId="0" fontId="59" fillId="47" borderId="0" xfId="0" applyFont="1" applyFill="1" applyBorder="1" applyAlignment="1">
      <alignment wrapText="1"/>
    </xf>
    <xf numFmtId="0" fontId="59" fillId="46" borderId="27" xfId="0" applyFont="1" applyFill="1" applyBorder="1" applyAlignment="1">
      <alignment vertical="center" wrapText="1"/>
    </xf>
    <xf numFmtId="9" fontId="20" fillId="0" borderId="0" xfId="0" applyNumberFormat="1" applyFont="1"/>
    <xf numFmtId="0" fontId="32" fillId="39" borderId="32" xfId="0" applyFont="1" applyFill="1" applyBorder="1" applyAlignment="1">
      <alignment horizontal="center" vertical="center"/>
    </xf>
    <xf numFmtId="0" fontId="32" fillId="39" borderId="35" xfId="0" applyFont="1" applyFill="1" applyBorder="1" applyAlignment="1">
      <alignment horizontal="center" vertical="center"/>
    </xf>
    <xf numFmtId="0" fontId="32" fillId="39" borderId="36" xfId="0" applyFont="1" applyFill="1" applyBorder="1" applyAlignment="1">
      <alignment horizontal="center" vertical="center"/>
    </xf>
    <xf numFmtId="1" fontId="20" fillId="0" borderId="0" xfId="0" applyNumberFormat="1" applyFont="1"/>
    <xf numFmtId="1" fontId="0" fillId="0" borderId="0" xfId="0" applyNumberFormat="1" applyAlignment="1">
      <alignment horizontal="center"/>
    </xf>
    <xf numFmtId="9" fontId="0" fillId="0" borderId="0" xfId="0" applyNumberFormat="1" applyAlignment="1">
      <alignment horizontal="center"/>
    </xf>
    <xf numFmtId="0" fontId="20" fillId="0" borderId="0" xfId="0" applyFont="1" applyFill="1" applyBorder="1"/>
    <xf numFmtId="0" fontId="20" fillId="39" borderId="0" xfId="0" applyFont="1" applyFill="1"/>
    <xf numFmtId="1" fontId="20" fillId="39" borderId="0" xfId="0" applyNumberFormat="1" applyFont="1" applyFill="1"/>
    <xf numFmtId="1" fontId="0" fillId="39" borderId="0" xfId="0" applyNumberFormat="1" applyFill="1"/>
    <xf numFmtId="0" fontId="20" fillId="48" borderId="0" xfId="0" applyFont="1" applyFill="1" applyBorder="1"/>
    <xf numFmtId="1" fontId="0" fillId="48" borderId="0" xfId="0" applyNumberFormat="1" applyFill="1"/>
    <xf numFmtId="1" fontId="0" fillId="0" borderId="0" xfId="0" applyNumberFormat="1" applyFill="1"/>
    <xf numFmtId="0" fontId="49" fillId="0" borderId="0" xfId="0" applyFont="1" applyFill="1" applyBorder="1" applyAlignment="1">
      <alignment horizontal="center" vertical="center" wrapText="1"/>
    </xf>
    <xf numFmtId="0" fontId="0" fillId="0" borderId="0" xfId="0" applyFill="1" applyBorder="1" applyAlignment="1">
      <alignment horizontal="right"/>
    </xf>
    <xf numFmtId="9" fontId="0" fillId="0" borderId="0" xfId="0" applyNumberFormat="1" applyFill="1" applyBorder="1"/>
    <xf numFmtId="0" fontId="54" fillId="0" borderId="0" xfId="0" applyFont="1" applyFill="1" applyBorder="1" applyAlignment="1">
      <alignment horizontal="center" vertical="center" wrapText="1"/>
    </xf>
    <xf numFmtId="10" fontId="1" fillId="0" borderId="0" xfId="0" applyNumberFormat="1" applyFont="1" applyFill="1" applyBorder="1" applyAlignment="1">
      <alignment horizontal="right"/>
    </xf>
    <xf numFmtId="0" fontId="18" fillId="0" borderId="37" xfId="0" applyFont="1" applyBorder="1" applyAlignment="1">
      <alignment vertical="top"/>
    </xf>
    <xf numFmtId="0" fontId="18" fillId="0" borderId="38" xfId="0" applyFont="1" applyBorder="1" applyAlignment="1">
      <alignment vertical="top"/>
    </xf>
    <xf numFmtId="168" fontId="0" fillId="0" borderId="39" xfId="0" applyNumberFormat="1" applyBorder="1" applyAlignment="1">
      <alignment vertical="top"/>
    </xf>
    <xf numFmtId="168" fontId="0" fillId="0" borderId="30" xfId="0" applyNumberFormat="1" applyBorder="1" applyAlignment="1">
      <alignment vertical="top"/>
    </xf>
    <xf numFmtId="168" fontId="0" fillId="0" borderId="40" xfId="0" applyNumberFormat="1" applyBorder="1" applyAlignment="1">
      <alignment vertical="top"/>
    </xf>
    <xf numFmtId="1" fontId="20" fillId="0" borderId="0" xfId="0" applyNumberFormat="1" applyFont="1" applyFill="1"/>
    <xf numFmtId="0" fontId="60" fillId="0" borderId="0" xfId="0" applyFont="1" applyAlignment="1">
      <alignment horizontal="center"/>
    </xf>
    <xf numFmtId="0" fontId="32" fillId="0" borderId="0" xfId="0" applyFont="1" applyAlignment="1">
      <alignment horizontal="center" vertical="center"/>
    </xf>
  </cellXfs>
  <cellStyles count="75">
    <cellStyle name="20 % - Accent1" xfId="18" builtinId="30" customBuiltin="1"/>
    <cellStyle name="20 % - Accent2" xfId="22" builtinId="34" customBuiltin="1"/>
    <cellStyle name="20 % - Accent3" xfId="26" builtinId="38" customBuiltin="1"/>
    <cellStyle name="20 % - Accent4" xfId="30" builtinId="42" customBuiltin="1"/>
    <cellStyle name="20 % - Accent5" xfId="34" builtinId="46" customBuiltin="1"/>
    <cellStyle name="20 % - Accent6" xfId="38" builtinId="50" customBuiltin="1"/>
    <cellStyle name="40 % - Accent1" xfId="19" builtinId="31" customBuiltin="1"/>
    <cellStyle name="40 % - Accent2" xfId="23" builtinId="35" customBuiltin="1"/>
    <cellStyle name="40 % - Accent3" xfId="27" builtinId="39" customBuiltin="1"/>
    <cellStyle name="40 % - Accent4" xfId="31" builtinId="43" customBuiltin="1"/>
    <cellStyle name="40 % - Accent5" xfId="35" builtinId="47" customBuiltin="1"/>
    <cellStyle name="40 % - Accent6" xfId="39" builtinId="51" customBuiltin="1"/>
    <cellStyle name="60 % - Accent1" xfId="20" builtinId="32" customBuiltin="1"/>
    <cellStyle name="60 % - Accent2" xfId="24" builtinId="36" customBuiltin="1"/>
    <cellStyle name="60 % - Accent3" xfId="28" builtinId="40" customBuiltin="1"/>
    <cellStyle name="60 % - Accent4" xfId="32" builtinId="44" customBuiltin="1"/>
    <cellStyle name="60 % - Accent5" xfId="36" builtinId="48" customBuiltin="1"/>
    <cellStyle name="60 %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Avertissement" xfId="14" builtinId="11" customBuiltin="1"/>
    <cellStyle name="Calcul" xfId="11" builtinId="22" customBuiltin="1"/>
    <cellStyle name="Cellule liée" xfId="12" builtinId="24" customBuiltin="1"/>
    <cellStyle name="Entrée" xfId="9" builtinId="20" customBuiltin="1"/>
    <cellStyle name="Excel Built-in Excel Built-in Excel Built-in Excel Built-in Excel Built-in Excel Built-in Normal 2 2" xfId="46" xr:uid="{F6E569C9-C666-47F3-818F-C74588B6EC2C}"/>
    <cellStyle name="Excel Built-in Normal 2" xfId="47" xr:uid="{D55BD217-4DE4-4DC9-8787-799B891C2419}"/>
    <cellStyle name="Excel Built-in Normal 2 2" xfId="48" xr:uid="{16F482A7-31FE-46C3-96E6-FE338A61ED56}"/>
    <cellStyle name="Excel Built-in Normal 6" xfId="49" xr:uid="{E8CA138D-9C27-49CD-9EEA-4996B58102C8}"/>
    <cellStyle name="Excel Built-in Normal 6 2 2 2" xfId="50" xr:uid="{A9AF83C5-07EF-47A4-A7EC-3688D26DFB84}"/>
    <cellStyle name="Excel Built-in Normal_q1c_1 2" xfId="51" xr:uid="{A6DFE697-E29A-4D4B-A6C0-87A0CC017887}"/>
    <cellStyle name="Excel Built-in TableStyleLight1" xfId="52" xr:uid="{2A1EB1FF-8069-4B3B-B7A4-E53751A26AE9}"/>
    <cellStyle name="Insatisfaisant" xfId="7" builtinId="27" customBuiltin="1"/>
    <cellStyle name="Milliers" xfId="74" builtinId="3"/>
    <cellStyle name="Neutre" xfId="8" builtinId="28" customBuiltin="1"/>
    <cellStyle name="Normal" xfId="0" builtinId="0"/>
    <cellStyle name="Normal 10" xfId="53" xr:uid="{B289CA45-6461-4025-8DB3-E83B800606BD}"/>
    <cellStyle name="Normal 11" xfId="54" xr:uid="{CE33607F-6B6D-4A34-9542-BB28F857FED1}"/>
    <cellStyle name="Normal 11 2" xfId="55" xr:uid="{BA271B0D-99E3-4FC9-996B-5FAD9B7D4CE8}"/>
    <cellStyle name="Normal 12" xfId="56" xr:uid="{702A1515-0EE5-4F52-ADC5-2C155D081BA5}"/>
    <cellStyle name="Normal 13" xfId="44" xr:uid="{05CDC728-14C7-4BD1-83D2-CFCB2C303254}"/>
    <cellStyle name="Normal 2" xfId="41" xr:uid="{58A47006-F3A5-489E-B0B4-DDA6D7CB2561}"/>
    <cellStyle name="Normal 2 2" xfId="45" xr:uid="{1C57BA60-7933-4288-BCA0-3FFF06F8BAF3}"/>
    <cellStyle name="Normal 2 3" xfId="57" xr:uid="{F0E33377-F9A2-4E20-B1B3-7B3F50327665}"/>
    <cellStyle name="Normal 3" xfId="58" xr:uid="{379243DE-7CA6-43AF-8864-C24CC6C1508F}"/>
    <cellStyle name="Normal 4" xfId="59" xr:uid="{DCCC794C-884C-4F27-A1AC-D796C41124C1}"/>
    <cellStyle name="Normal 4 2" xfId="60" xr:uid="{BAF16067-78A1-41EB-BA4D-0A7DD9BC305B}"/>
    <cellStyle name="Normal 5" xfId="61" xr:uid="{D995B70E-BBCF-40AB-9976-99ED2A44516C}"/>
    <cellStyle name="Normal 6" xfId="62" xr:uid="{B709C075-36DC-4984-AFC0-5EDA1CAC955A}"/>
    <cellStyle name="Normal 6 2" xfId="63" xr:uid="{CA35C75C-62F1-4300-AF28-1B4F67131A49}"/>
    <cellStyle name="Normal 6 2 2" xfId="64" xr:uid="{1DEDE927-F774-42F7-ACE8-539190943381}"/>
    <cellStyle name="Normal 6 2 2 2" xfId="65" xr:uid="{D0BBA247-0521-43F2-A77D-6A63905BDDDA}"/>
    <cellStyle name="Normal 6 2 2 2 2" xfId="66" xr:uid="{5F19F258-3919-4A72-A46D-E77C53E5CCEE}"/>
    <cellStyle name="Normal 6 2 2 2 3" xfId="67" xr:uid="{CB322545-FAE3-44B5-AB1F-EDED7CABB6EB}"/>
    <cellStyle name="Normal 6 2 2 2 4" xfId="68" xr:uid="{3202A398-FC73-46D7-BF04-3908F8822C28}"/>
    <cellStyle name="Normal 7" xfId="69" xr:uid="{6F86FE11-64C6-4613-889C-71EF44313D93}"/>
    <cellStyle name="Normal 8" xfId="70" xr:uid="{0E58D0E1-B378-45F6-A99D-0FC51060915E}"/>
    <cellStyle name="Normal 9" xfId="71" xr:uid="{7B669E43-CE9D-41E4-B693-F58E27BF6202}"/>
    <cellStyle name="Normal 9 2" xfId="72" xr:uid="{D0245A0A-A612-493B-803D-4AF90A3BCB8B}"/>
    <cellStyle name="Note 2" xfId="42" xr:uid="{9A0DB0F4-4004-43C3-853C-491ECAC022A9}"/>
    <cellStyle name="Pourcentage" xfId="43" builtinId="5"/>
    <cellStyle name="Satisfaisant" xfId="6" builtinId="26" customBuiltin="1"/>
    <cellStyle name="Sortie" xfId="10" builtinId="21" customBuiltin="1"/>
    <cellStyle name="TableStyleLight1" xfId="73" xr:uid="{D78989E5-0A74-4F81-BCAE-720F0A0BFC78}"/>
    <cellStyle name="Texte explicatif" xfId="15"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6"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O:\FHP%20Occitanie\11%20Service\2.%20Doss%20individuels%20de%20travail\Mathis\PSY\PSY%20Dot%20Pop%2024%20finaleV020625.xlsx" TargetMode="External"/><Relationship Id="rId1" Type="http://schemas.openxmlformats.org/officeDocument/2006/relationships/externalLinkPath" Target="PSY%20Dot%20Pop%2024%20finaleV0206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ez moi"/>
      <sheetName val="24 comparatif"/>
      <sheetName val="Feuil1"/>
      <sheetName val="2024base"/>
      <sheetName val="24C1"/>
    </sheetNames>
    <sheetDataSet>
      <sheetData sheetId="0"/>
      <sheetData sheetId="1"/>
      <sheetData sheetId="2">
        <row r="5">
          <cell r="H5">
            <v>110000056</v>
          </cell>
          <cell r="I5" t="str">
            <v>CENTRE HOSPITALIER NARBONNE</v>
          </cell>
          <cell r="J5">
            <v>7741703</v>
          </cell>
          <cell r="K5">
            <v>1711506</v>
          </cell>
          <cell r="L5"/>
          <cell r="M5">
            <v>9631454</v>
          </cell>
          <cell r="N5"/>
          <cell r="O5">
            <v>7892769</v>
          </cell>
          <cell r="P5">
            <v>103520.89</v>
          </cell>
          <cell r="Q5">
            <v>7892769</v>
          </cell>
          <cell r="R5"/>
          <cell r="S5">
            <v>1731439.25</v>
          </cell>
        </row>
        <row r="6">
          <cell r="H6">
            <v>300780269</v>
          </cell>
          <cell r="I6" t="str">
            <v>CLINIQUE LES SOPHORAS</v>
          </cell>
          <cell r="J6">
            <v>557500</v>
          </cell>
          <cell r="K6">
            <v>4655141.58</v>
          </cell>
          <cell r="L6"/>
          <cell r="M6">
            <v>4894242</v>
          </cell>
          <cell r="N6"/>
          <cell r="O6">
            <v>530295</v>
          </cell>
          <cell r="P6">
            <v>66715.03</v>
          </cell>
          <cell r="Q6">
            <v>530295</v>
          </cell>
          <cell r="R6"/>
          <cell r="S6">
            <v>4328415.83</v>
          </cell>
        </row>
        <row r="7">
          <cell r="H7">
            <v>90000183</v>
          </cell>
          <cell r="I7" t="str">
            <v>CENTRE HOSPITALIER ARIEGE COUSERANS</v>
          </cell>
          <cell r="J7">
            <v>21224402</v>
          </cell>
          <cell r="K7">
            <v>3828947</v>
          </cell>
          <cell r="L7"/>
          <cell r="M7">
            <v>25891876</v>
          </cell>
          <cell r="N7"/>
          <cell r="O7">
            <v>22049256</v>
          </cell>
          <cell r="P7">
            <v>254412.78</v>
          </cell>
          <cell r="Q7">
            <v>22049256</v>
          </cell>
          <cell r="R7"/>
          <cell r="S7">
            <v>3837386</v>
          </cell>
        </row>
        <row r="8">
          <cell r="H8">
            <v>110780152</v>
          </cell>
          <cell r="I8" t="str">
            <v>CLINIQUE DE MIREMONT</v>
          </cell>
          <cell r="J8">
            <v>477982</v>
          </cell>
          <cell r="K8">
            <v>2976529.97</v>
          </cell>
          <cell r="L8"/>
          <cell r="M8">
            <v>3120217</v>
          </cell>
          <cell r="N8"/>
          <cell r="O8">
            <v>437299</v>
          </cell>
          <cell r="P8">
            <v>32112.13</v>
          </cell>
          <cell r="Q8">
            <v>437299</v>
          </cell>
          <cell r="R8"/>
          <cell r="S8">
            <v>2679859.9500000002</v>
          </cell>
        </row>
        <row r="9">
          <cell r="H9">
            <v>110785516</v>
          </cell>
          <cell r="I9" t="str">
            <v>USSAP ASM</v>
          </cell>
          <cell r="J9">
            <v>31405719</v>
          </cell>
          <cell r="K9">
            <v>5665789</v>
          </cell>
          <cell r="L9"/>
          <cell r="M9">
            <v>37940422</v>
          </cell>
          <cell r="N9"/>
          <cell r="O9">
            <v>32289746</v>
          </cell>
          <cell r="P9">
            <v>407615.89</v>
          </cell>
          <cell r="Q9">
            <v>32361346</v>
          </cell>
          <cell r="R9"/>
          <cell r="S9">
            <v>6034342.4800000004</v>
          </cell>
        </row>
        <row r="10">
          <cell r="H10">
            <v>120004569</v>
          </cell>
          <cell r="I10" t="str">
            <v>CENTRE HOSPITALIER DE MILLAU</v>
          </cell>
          <cell r="J10">
            <v>6874801</v>
          </cell>
          <cell r="K10">
            <v>1358048</v>
          </cell>
          <cell r="L10"/>
          <cell r="M10">
            <v>8592617</v>
          </cell>
          <cell r="N10"/>
          <cell r="O10">
            <v>7041789</v>
          </cell>
          <cell r="P10">
            <v>86627.55</v>
          </cell>
          <cell r="Q10">
            <v>7041789</v>
          </cell>
          <cell r="R10"/>
          <cell r="S10">
            <v>1356309</v>
          </cell>
        </row>
        <row r="11">
          <cell r="H11">
            <v>120000039</v>
          </cell>
          <cell r="I11" t="str">
            <v>CH DE RODEZ</v>
          </cell>
          <cell r="J11">
            <v>4137973</v>
          </cell>
          <cell r="K11">
            <v>727863</v>
          </cell>
          <cell r="L11"/>
          <cell r="M11">
            <v>4988237</v>
          </cell>
          <cell r="N11"/>
          <cell r="O11">
            <v>4241495</v>
          </cell>
          <cell r="P11">
            <v>39508.28</v>
          </cell>
          <cell r="Q11">
            <v>4241495</v>
          </cell>
          <cell r="R11"/>
          <cell r="S11">
            <v>904043.5</v>
          </cell>
        </row>
        <row r="12">
          <cell r="H12">
            <v>120780283</v>
          </cell>
          <cell r="I12" t="str">
            <v>CENTRE HOSPITALIER SAINTE MARIE</v>
          </cell>
          <cell r="J12">
            <v>39160129</v>
          </cell>
          <cell r="K12">
            <v>6965984</v>
          </cell>
          <cell r="L12"/>
          <cell r="M12">
            <v>47569618</v>
          </cell>
          <cell r="N12"/>
          <cell r="O12">
            <v>40147720</v>
          </cell>
          <cell r="P12">
            <v>586657.49</v>
          </cell>
          <cell r="Q12">
            <v>40211720</v>
          </cell>
          <cell r="R12">
            <v>7069844.6299999999</v>
          </cell>
          <cell r="S12">
            <v>7234870.0499999998</v>
          </cell>
        </row>
        <row r="13">
          <cell r="H13">
            <v>300002128</v>
          </cell>
          <cell r="I13" t="str">
            <v>CHATEAU DE COULORGUES</v>
          </cell>
          <cell r="J13">
            <v>339746</v>
          </cell>
          <cell r="K13">
            <v>2463974.42</v>
          </cell>
          <cell r="L13"/>
          <cell r="M13">
            <v>2732470</v>
          </cell>
          <cell r="N13"/>
          <cell r="O13">
            <v>332817</v>
          </cell>
          <cell r="P13">
            <v>27754.07</v>
          </cell>
          <cell r="Q13">
            <v>332817</v>
          </cell>
          <cell r="R13"/>
          <cell r="S13">
            <v>2355676</v>
          </cell>
        </row>
        <row r="14">
          <cell r="H14">
            <v>300002896</v>
          </cell>
          <cell r="I14" t="str">
            <v>SECTION PEDO PSY LE BOSQUET</v>
          </cell>
          <cell r="J14">
            <v>973703</v>
          </cell>
          <cell r="K14">
            <v>124759</v>
          </cell>
          <cell r="L14"/>
          <cell r="M14">
            <v>1169745</v>
          </cell>
          <cell r="N14"/>
          <cell r="O14">
            <v>1044341</v>
          </cell>
          <cell r="P14">
            <v>18214.8</v>
          </cell>
          <cell r="Q14">
            <v>1044341</v>
          </cell>
          <cell r="R14"/>
          <cell r="S14">
            <v>169802.21</v>
          </cell>
        </row>
        <row r="15">
          <cell r="H15">
            <v>300782117</v>
          </cell>
          <cell r="I15" t="str">
            <v>CHU NIMES</v>
          </cell>
          <cell r="J15">
            <v>19093237</v>
          </cell>
          <cell r="K15">
            <v>3093987</v>
          </cell>
          <cell r="L15"/>
          <cell r="M15">
            <v>24609770</v>
          </cell>
          <cell r="N15"/>
          <cell r="O15">
            <v>19727953</v>
          </cell>
          <cell r="P15">
            <v>286230.17</v>
          </cell>
          <cell r="Q15">
            <v>19886358.629999999</v>
          </cell>
          <cell r="R15"/>
          <cell r="S15">
            <v>3089520</v>
          </cell>
        </row>
        <row r="16">
          <cell r="H16">
            <v>300000023</v>
          </cell>
          <cell r="I16" t="str">
            <v>CENTRE HOSPITALIER ALES CEVENNES</v>
          </cell>
          <cell r="J16">
            <v>12597516</v>
          </cell>
          <cell r="K16">
            <v>2301905</v>
          </cell>
          <cell r="L16"/>
          <cell r="M16">
            <v>15124289</v>
          </cell>
          <cell r="N16"/>
          <cell r="O16">
            <v>12915918</v>
          </cell>
          <cell r="P16">
            <v>163157.04999999999</v>
          </cell>
          <cell r="Q16">
            <v>12915918</v>
          </cell>
          <cell r="R16"/>
          <cell r="S16">
            <v>2519961.39</v>
          </cell>
        </row>
        <row r="17">
          <cell r="H17">
            <v>300000080</v>
          </cell>
          <cell r="I17" t="str">
            <v>CHS MAS CAREIRON</v>
          </cell>
          <cell r="J17">
            <v>31549394</v>
          </cell>
          <cell r="K17">
            <v>6144049</v>
          </cell>
          <cell r="L17"/>
          <cell r="M17">
            <v>38878237</v>
          </cell>
          <cell r="N17"/>
          <cell r="O17">
            <v>32345981</v>
          </cell>
          <cell r="P17">
            <v>543855.93999999994</v>
          </cell>
          <cell r="Q17">
            <v>32377981</v>
          </cell>
          <cell r="R17">
            <v>6206906.8099999996</v>
          </cell>
          <cell r="S17">
            <v>6447035</v>
          </cell>
        </row>
        <row r="18">
          <cell r="H18">
            <v>300780210</v>
          </cell>
          <cell r="I18" t="str">
            <v>CLINIQUE BELLERIVE</v>
          </cell>
          <cell r="J18">
            <v>1076711</v>
          </cell>
          <cell r="K18">
            <v>7217291.6500000004</v>
          </cell>
          <cell r="L18"/>
          <cell r="M18">
            <v>6601403</v>
          </cell>
          <cell r="N18"/>
          <cell r="O18">
            <v>885232</v>
          </cell>
          <cell r="P18">
            <v>92584.02</v>
          </cell>
          <cell r="Q18">
            <v>885232</v>
          </cell>
          <cell r="R18"/>
          <cell r="S18">
            <v>6435564.4800000004</v>
          </cell>
        </row>
        <row r="19">
          <cell r="H19">
            <v>300780244</v>
          </cell>
          <cell r="I19" t="str">
            <v>CLINIQUE DU PONT DU GARD</v>
          </cell>
          <cell r="J19">
            <v>368632</v>
          </cell>
          <cell r="K19">
            <v>2727277.1999999997</v>
          </cell>
          <cell r="L19"/>
          <cell r="M19">
            <v>2978470</v>
          </cell>
          <cell r="N19"/>
          <cell r="O19">
            <v>357631</v>
          </cell>
          <cell r="P19">
            <v>29844.79</v>
          </cell>
          <cell r="Q19">
            <v>357631</v>
          </cell>
          <cell r="R19"/>
          <cell r="S19">
            <v>2560864</v>
          </cell>
        </row>
        <row r="20">
          <cell r="H20">
            <v>300780251</v>
          </cell>
          <cell r="I20" t="str">
            <v>CLINIQUE NEURO PSYCHIATRIQUE QUISSAC</v>
          </cell>
          <cell r="J20">
            <v>1414639</v>
          </cell>
          <cell r="K20">
            <v>7274957.7000000002</v>
          </cell>
          <cell r="L20"/>
          <cell r="M20">
            <v>8305577</v>
          </cell>
          <cell r="N20"/>
          <cell r="O20">
            <v>1352441</v>
          </cell>
          <cell r="P20">
            <v>49445.34</v>
          </cell>
          <cell r="Q20">
            <v>1352441</v>
          </cell>
          <cell r="R20"/>
          <cell r="S20">
            <v>6814063</v>
          </cell>
        </row>
        <row r="21">
          <cell r="H21">
            <v>300780384</v>
          </cell>
          <cell r="I21" t="str">
            <v>CENTRE PROTECTION INFANTILE MONTAURY</v>
          </cell>
          <cell r="J21">
            <v>1281407</v>
          </cell>
          <cell r="K21">
            <v>205451</v>
          </cell>
          <cell r="L21"/>
          <cell r="M21">
            <v>1535389</v>
          </cell>
          <cell r="N21"/>
          <cell r="O21">
            <v>1333498</v>
          </cell>
          <cell r="P21">
            <v>16830.8</v>
          </cell>
          <cell r="Q21">
            <v>1333498</v>
          </cell>
          <cell r="R21">
            <v>223421.89</v>
          </cell>
          <cell r="S21">
            <v>230054.43</v>
          </cell>
        </row>
        <row r="22">
          <cell r="H22">
            <v>300780764</v>
          </cell>
          <cell r="I22" t="str">
            <v>CENTRE DE POST-CURE DU PEYRON</v>
          </cell>
          <cell r="J22">
            <v>1834790</v>
          </cell>
          <cell r="K22">
            <v>602976</v>
          </cell>
          <cell r="L22"/>
          <cell r="M22">
            <v>2201048</v>
          </cell>
          <cell r="N22"/>
          <cell r="O22">
            <v>1842352</v>
          </cell>
          <cell r="P22">
            <v>28254.85</v>
          </cell>
          <cell r="Q22">
            <v>1842352</v>
          </cell>
          <cell r="R22"/>
          <cell r="S22">
            <v>591195</v>
          </cell>
        </row>
        <row r="23">
          <cell r="H23">
            <v>300781424</v>
          </cell>
          <cell r="I23" t="str">
            <v>CLINIQUE DU MONT DUPLAN</v>
          </cell>
          <cell r="J23">
            <v>426616</v>
          </cell>
          <cell r="K23">
            <v>3091978.72</v>
          </cell>
          <cell r="L23"/>
          <cell r="M23">
            <v>3492552</v>
          </cell>
          <cell r="N23"/>
          <cell r="O23">
            <v>423081</v>
          </cell>
          <cell r="P23">
            <v>23223.38</v>
          </cell>
          <cell r="Q23">
            <v>423081</v>
          </cell>
          <cell r="R23"/>
          <cell r="S23">
            <v>2995844</v>
          </cell>
        </row>
        <row r="24">
          <cell r="H24">
            <v>310018650</v>
          </cell>
          <cell r="I24" t="str">
            <v>SECTORISATION PSY NEBOUZAN ASEI</v>
          </cell>
          <cell r="J24">
            <v>248583</v>
          </cell>
          <cell r="K24"/>
          <cell r="L24"/>
          <cell r="M24">
            <v>256075.98</v>
          </cell>
          <cell r="N24"/>
          <cell r="O24">
            <v>258703</v>
          </cell>
          <cell r="P24">
            <v>2485.5700000000002</v>
          </cell>
          <cell r="Q24">
            <v>258703</v>
          </cell>
          <cell r="R24">
            <v>0</v>
          </cell>
          <cell r="S24">
            <v>0</v>
          </cell>
        </row>
        <row r="25">
          <cell r="H25">
            <v>310018676</v>
          </cell>
          <cell r="I25" t="str">
            <v>SECTORISATION PSY GUIDANCE INF ARSEAA</v>
          </cell>
          <cell r="J25">
            <v>10526706</v>
          </cell>
          <cell r="K25">
            <v>2106299</v>
          </cell>
          <cell r="L25"/>
          <cell r="M25">
            <v>13098669</v>
          </cell>
          <cell r="N25"/>
          <cell r="O25">
            <v>10836713</v>
          </cell>
          <cell r="P25">
            <v>207480</v>
          </cell>
          <cell r="Q25">
            <v>10836713</v>
          </cell>
          <cell r="R25">
            <v>2269287.0099999998</v>
          </cell>
          <cell r="S25">
            <v>2180802.5699999998</v>
          </cell>
        </row>
        <row r="26">
          <cell r="H26">
            <v>310780119</v>
          </cell>
          <cell r="I26" t="str">
            <v>CLINIQUE DE MONTBERON</v>
          </cell>
          <cell r="J26">
            <v>730189</v>
          </cell>
          <cell r="K26">
            <v>5375397.6099999994</v>
          </cell>
          <cell r="L26"/>
          <cell r="M26">
            <v>5441624</v>
          </cell>
          <cell r="N26"/>
          <cell r="O26">
            <v>664073</v>
          </cell>
          <cell r="P26">
            <v>69890.37</v>
          </cell>
          <cell r="Q26">
            <v>664073</v>
          </cell>
          <cell r="R26"/>
          <cell r="S26">
            <v>4789383.72</v>
          </cell>
        </row>
        <row r="27">
          <cell r="H27">
            <v>310780143</v>
          </cell>
          <cell r="I27" t="str">
            <v>CL DU CHATEAU DE SEYSSES</v>
          </cell>
          <cell r="J27">
            <v>815675</v>
          </cell>
          <cell r="K27">
            <v>5847898.6699999999</v>
          </cell>
          <cell r="L27"/>
          <cell r="M27">
            <v>6767155</v>
          </cell>
          <cell r="N27"/>
          <cell r="O27">
            <v>824399</v>
          </cell>
          <cell r="P27">
            <v>70778.509999999995</v>
          </cell>
          <cell r="Q27">
            <v>824399</v>
          </cell>
          <cell r="R27"/>
          <cell r="S27">
            <v>5764684</v>
          </cell>
        </row>
        <row r="28">
          <cell r="H28">
            <v>310780358</v>
          </cell>
          <cell r="I28" t="str">
            <v>MAISON DE SANTE DE MAILHOL</v>
          </cell>
          <cell r="J28">
            <v>773905</v>
          </cell>
          <cell r="K28">
            <v>4220688.49</v>
          </cell>
          <cell r="L28"/>
          <cell r="M28">
            <v>4953810</v>
          </cell>
          <cell r="N28"/>
          <cell r="O28">
            <v>765729</v>
          </cell>
          <cell r="P28">
            <v>57344.49</v>
          </cell>
          <cell r="Q28">
            <v>765729</v>
          </cell>
          <cell r="R28"/>
          <cell r="S28">
            <v>4073237.7</v>
          </cell>
        </row>
        <row r="29">
          <cell r="H29">
            <v>310780390</v>
          </cell>
          <cell r="I29" t="str">
            <v>CLINIQUE DE BEAUPUY</v>
          </cell>
          <cell r="J29">
            <v>1215614</v>
          </cell>
          <cell r="K29">
            <v>6875902.2300000004</v>
          </cell>
          <cell r="L29"/>
          <cell r="M29">
            <v>8971892</v>
          </cell>
          <cell r="N29"/>
          <cell r="O29">
            <v>1283369</v>
          </cell>
          <cell r="P29">
            <v>60268.57</v>
          </cell>
          <cell r="Q29">
            <v>1283369</v>
          </cell>
          <cell r="R29"/>
          <cell r="S29">
            <v>7122705.8300000001</v>
          </cell>
        </row>
        <row r="30">
          <cell r="H30">
            <v>310000369</v>
          </cell>
          <cell r="I30" t="str">
            <v>CENTRE HOSPITALIER G. MARCHANT</v>
          </cell>
          <cell r="J30">
            <v>61091528</v>
          </cell>
          <cell r="K30">
            <v>10657354</v>
          </cell>
          <cell r="L30"/>
          <cell r="M30">
            <v>85713903</v>
          </cell>
          <cell r="N30"/>
          <cell r="O30">
            <v>63044542</v>
          </cell>
          <cell r="P30">
            <v>1045492.2</v>
          </cell>
          <cell r="Q30">
            <v>63044542</v>
          </cell>
          <cell r="R30">
            <v>10911562.939999999</v>
          </cell>
          <cell r="S30">
            <v>11061207.640000001</v>
          </cell>
        </row>
        <row r="31">
          <cell r="H31">
            <v>310781000</v>
          </cell>
          <cell r="I31" t="str">
            <v>CLINIQUE DES CEDRES</v>
          </cell>
          <cell r="J31">
            <v>833240</v>
          </cell>
          <cell r="K31">
            <v>5173046.4400000004</v>
          </cell>
          <cell r="L31"/>
          <cell r="M31">
            <v>6854823</v>
          </cell>
          <cell r="N31"/>
          <cell r="O31">
            <v>939862</v>
          </cell>
          <cell r="P31">
            <v>82165.440000000002</v>
          </cell>
          <cell r="Q31">
            <v>939862</v>
          </cell>
          <cell r="R31"/>
          <cell r="S31">
            <v>5720998</v>
          </cell>
        </row>
        <row r="32">
          <cell r="H32">
            <v>310781133</v>
          </cell>
          <cell r="I32" t="str">
            <v>CLINIQUE D'AUFRERY</v>
          </cell>
          <cell r="J32">
            <v>943954</v>
          </cell>
          <cell r="K32">
            <v>6475796.8299999991</v>
          </cell>
          <cell r="L32"/>
          <cell r="M32">
            <v>7159471</v>
          </cell>
          <cell r="N32"/>
          <cell r="O32">
            <v>912600</v>
          </cell>
          <cell r="P32">
            <v>82946.509999999995</v>
          </cell>
          <cell r="Q32">
            <v>912600</v>
          </cell>
          <cell r="R32"/>
          <cell r="S32">
            <v>6523906.4500000002</v>
          </cell>
        </row>
        <row r="33">
          <cell r="H33">
            <v>310781141</v>
          </cell>
          <cell r="I33" t="str">
            <v>CLINIQUE DU VIEU CHATEAU D'OC</v>
          </cell>
          <cell r="J33">
            <v>894491</v>
          </cell>
          <cell r="K33">
            <v>6615148.2200000007</v>
          </cell>
          <cell r="L33"/>
          <cell r="M33">
            <v>7959649</v>
          </cell>
          <cell r="N33"/>
          <cell r="O33">
            <v>940834</v>
          </cell>
          <cell r="P33">
            <v>89894.49</v>
          </cell>
          <cell r="Q33">
            <v>940834</v>
          </cell>
          <cell r="R33"/>
          <cell r="S33">
            <v>6786034</v>
          </cell>
        </row>
        <row r="34">
          <cell r="H34">
            <v>310781158</v>
          </cell>
          <cell r="I34" t="str">
            <v>CLINIQUE MARIGNY</v>
          </cell>
          <cell r="J34">
            <v>742793</v>
          </cell>
          <cell r="K34">
            <v>7669563.2600000007</v>
          </cell>
          <cell r="L34"/>
          <cell r="M34">
            <v>7661386</v>
          </cell>
          <cell r="N34"/>
          <cell r="O34">
            <v>691633</v>
          </cell>
          <cell r="P34">
            <v>48854.86</v>
          </cell>
          <cell r="Q34">
            <v>691633</v>
          </cell>
          <cell r="R34"/>
          <cell r="S34">
            <v>6939775.9699999997</v>
          </cell>
        </row>
        <row r="35">
          <cell r="H35">
            <v>310000484</v>
          </cell>
          <cell r="I35" t="str">
            <v>CHU DE TOULOUSE</v>
          </cell>
          <cell r="J35">
            <v>29673510</v>
          </cell>
          <cell r="K35">
            <v>5142565</v>
          </cell>
          <cell r="L35"/>
          <cell r="M35">
            <v>34135947</v>
          </cell>
          <cell r="N35"/>
          <cell r="O35">
            <v>30407854</v>
          </cell>
          <cell r="P35">
            <v>395228.92</v>
          </cell>
          <cell r="Q35">
            <v>30291938.129999999</v>
          </cell>
          <cell r="R35">
            <v>5129296.6900000004</v>
          </cell>
          <cell r="S35">
            <v>5378897.4199999999</v>
          </cell>
        </row>
        <row r="36">
          <cell r="H36">
            <v>310781430</v>
          </cell>
          <cell r="I36" t="str">
            <v>CENTREPOSTCURE ROUTE NOUVELLE</v>
          </cell>
          <cell r="J36">
            <v>1180238</v>
          </cell>
          <cell r="K36">
            <v>491918</v>
          </cell>
          <cell r="L36"/>
          <cell r="M36">
            <v>1468044</v>
          </cell>
          <cell r="N36"/>
          <cell r="O36">
            <v>1166051</v>
          </cell>
          <cell r="P36">
            <v>14749.2</v>
          </cell>
          <cell r="Q36">
            <v>1270451</v>
          </cell>
          <cell r="R36">
            <v>488301.03</v>
          </cell>
          <cell r="S36">
            <v>488301.03</v>
          </cell>
        </row>
        <row r="37">
          <cell r="H37">
            <v>310783097</v>
          </cell>
          <cell r="I37" t="str">
            <v>CENTRE DE SANTE MENTALE MGEN TOULOUSE</v>
          </cell>
          <cell r="J37">
            <v>2226856</v>
          </cell>
          <cell r="K37">
            <v>447414</v>
          </cell>
          <cell r="L37"/>
          <cell r="M37">
            <v>2686841</v>
          </cell>
          <cell r="N37"/>
          <cell r="O37">
            <v>2260105</v>
          </cell>
          <cell r="P37">
            <v>42721.59</v>
          </cell>
          <cell r="Q37">
            <v>2260105</v>
          </cell>
          <cell r="R37"/>
          <cell r="S37">
            <v>527491.34</v>
          </cell>
        </row>
        <row r="38">
          <cell r="H38">
            <v>310795463</v>
          </cell>
          <cell r="I38" t="str">
            <v>CENTRE DE POST CURE "APRES"</v>
          </cell>
          <cell r="J38">
            <v>1837587</v>
          </cell>
          <cell r="K38">
            <v>469206</v>
          </cell>
          <cell r="L38"/>
          <cell r="M38">
            <v>2173292</v>
          </cell>
          <cell r="N38"/>
          <cell r="O38">
            <v>1810122</v>
          </cell>
          <cell r="P38">
            <v>33146.86</v>
          </cell>
          <cell r="Q38">
            <v>1810122</v>
          </cell>
          <cell r="R38"/>
          <cell r="S38">
            <v>474455.72</v>
          </cell>
        </row>
        <row r="39">
          <cell r="H39">
            <v>320780109</v>
          </cell>
          <cell r="I39" t="str">
            <v>CLINIQUE MALADIES MENTALES D'EMBATS</v>
          </cell>
          <cell r="J39">
            <v>794205</v>
          </cell>
          <cell r="K39">
            <v>2825267.36</v>
          </cell>
          <cell r="L39"/>
          <cell r="M39">
            <v>2773185</v>
          </cell>
          <cell r="O39">
            <v>646953</v>
          </cell>
          <cell r="P39">
            <v>29435.58</v>
          </cell>
          <cell r="Q39">
            <v>646953</v>
          </cell>
          <cell r="R39"/>
          <cell r="S39">
            <v>2280511.0699999998</v>
          </cell>
        </row>
        <row r="40">
          <cell r="H40">
            <v>320780125</v>
          </cell>
          <cell r="I40" t="str">
            <v>CENTRE HOSPITALIER DU GERS</v>
          </cell>
          <cell r="J40">
            <v>27567892</v>
          </cell>
          <cell r="K40">
            <v>4183035</v>
          </cell>
          <cell r="L40"/>
          <cell r="M40">
            <v>34463805</v>
          </cell>
          <cell r="N40"/>
          <cell r="O40">
            <v>28940612</v>
          </cell>
          <cell r="P40">
            <v>170765.96</v>
          </cell>
          <cell r="Q40">
            <v>29115112</v>
          </cell>
          <cell r="R40">
            <v>4281435.12</v>
          </cell>
          <cell r="S40">
            <v>4281435</v>
          </cell>
        </row>
        <row r="41">
          <cell r="H41">
            <v>340010149</v>
          </cell>
          <cell r="I41" t="str">
            <v>CLINIQUE SAINT CLEMENT</v>
          </cell>
          <cell r="J41">
            <v>453084</v>
          </cell>
          <cell r="K41">
            <v>4449544.09</v>
          </cell>
          <cell r="L41"/>
          <cell r="M41">
            <v>4422775</v>
          </cell>
          <cell r="O41">
            <v>414959</v>
          </cell>
          <cell r="P41">
            <v>60679.73</v>
          </cell>
          <cell r="Q41">
            <v>414959</v>
          </cell>
          <cell r="R41"/>
          <cell r="S41">
            <v>4227418.25</v>
          </cell>
        </row>
        <row r="42">
          <cell r="H42">
            <v>340000223</v>
          </cell>
          <cell r="I42" t="str">
            <v>LES HOPITAUX DU BASSIN DE THAU</v>
          </cell>
          <cell r="J42">
            <v>6873359</v>
          </cell>
          <cell r="K42">
            <v>1326258</v>
          </cell>
          <cell r="L42"/>
          <cell r="M42">
            <v>8279350</v>
          </cell>
          <cell r="N42"/>
          <cell r="O42">
            <v>7076878</v>
          </cell>
          <cell r="P42">
            <v>67036.83</v>
          </cell>
          <cell r="Q42">
            <v>7076878</v>
          </cell>
          <cell r="R42"/>
          <cell r="S42">
            <v>1345495.02</v>
          </cell>
        </row>
        <row r="43">
          <cell r="H43">
            <v>340780055</v>
          </cell>
          <cell r="I43" t="str">
            <v>CH BEZIERS</v>
          </cell>
          <cell r="J43">
            <v>22071041</v>
          </cell>
          <cell r="K43">
            <v>4792868</v>
          </cell>
          <cell r="L43"/>
          <cell r="M43">
            <v>27798741</v>
          </cell>
          <cell r="N43"/>
          <cell r="O43">
            <v>22593377</v>
          </cell>
          <cell r="P43">
            <v>237269.84</v>
          </cell>
          <cell r="Q43">
            <v>22593377</v>
          </cell>
          <cell r="R43"/>
          <cell r="S43">
            <v>5284794.5599999996</v>
          </cell>
        </row>
        <row r="44">
          <cell r="H44">
            <v>340780121</v>
          </cell>
          <cell r="I44" t="str">
            <v>CLINIQUE LA PERGOLA</v>
          </cell>
          <cell r="J44">
            <v>752166</v>
          </cell>
          <cell r="K44">
            <v>4750397.3800000008</v>
          </cell>
          <cell r="L44"/>
          <cell r="M44">
            <v>5741170</v>
          </cell>
          <cell r="O44">
            <v>776361</v>
          </cell>
          <cell r="P44">
            <v>54048.42</v>
          </cell>
          <cell r="Q44">
            <v>776361</v>
          </cell>
          <cell r="R44"/>
          <cell r="S44">
            <v>4793421</v>
          </cell>
        </row>
        <row r="45">
          <cell r="H45">
            <v>340780477</v>
          </cell>
          <cell r="I45" t="str">
            <v>CHU MONTPELLIER</v>
          </cell>
          <cell r="J45">
            <v>66602848</v>
          </cell>
          <cell r="K45">
            <v>11886305</v>
          </cell>
          <cell r="L45"/>
          <cell r="M45">
            <v>80956869</v>
          </cell>
          <cell r="N45"/>
          <cell r="O45">
            <v>68379355</v>
          </cell>
          <cell r="P45">
            <v>1218074.2</v>
          </cell>
          <cell r="Q45">
            <v>68748310.129999995</v>
          </cell>
          <cell r="R45"/>
          <cell r="S45">
            <v>12150183.609999999</v>
          </cell>
        </row>
        <row r="46">
          <cell r="H46">
            <v>340780758</v>
          </cell>
          <cell r="I46" t="str">
            <v>CLINIQUE RECH</v>
          </cell>
          <cell r="J46">
            <v>1534163</v>
          </cell>
          <cell r="K46">
            <v>9126640.0999999996</v>
          </cell>
          <cell r="L46"/>
          <cell r="M46">
            <v>10333507</v>
          </cell>
          <cell r="O46">
            <v>1446193</v>
          </cell>
          <cell r="P46">
            <v>88013.26</v>
          </cell>
          <cell r="Q46">
            <v>1446193</v>
          </cell>
          <cell r="R46"/>
          <cell r="S46">
            <v>8683856.1899999995</v>
          </cell>
        </row>
        <row r="47">
          <cell r="H47">
            <v>340780766</v>
          </cell>
          <cell r="I47" t="str">
            <v>CLINIQUE LA LIRONDE</v>
          </cell>
          <cell r="J47">
            <v>654988</v>
          </cell>
          <cell r="K47">
            <v>6491232.2400000002</v>
          </cell>
          <cell r="L47"/>
          <cell r="M47">
            <v>6234661</v>
          </cell>
          <cell r="O47">
            <v>591001</v>
          </cell>
          <cell r="P47">
            <v>42576.160000000003</v>
          </cell>
          <cell r="Q47">
            <v>591001</v>
          </cell>
          <cell r="R47"/>
          <cell r="S47">
            <v>5670840.8200000003</v>
          </cell>
        </row>
        <row r="48">
          <cell r="H48">
            <v>340780782</v>
          </cell>
          <cell r="I48" t="str">
            <v>CLINIQUE STELLA</v>
          </cell>
          <cell r="J48">
            <v>1211148</v>
          </cell>
          <cell r="K48">
            <v>5609676.5</v>
          </cell>
          <cell r="L48"/>
          <cell r="M48">
            <v>7807716</v>
          </cell>
          <cell r="O48">
            <v>1324742</v>
          </cell>
          <cell r="P48">
            <v>72116.31</v>
          </cell>
          <cell r="Q48">
            <v>1324742</v>
          </cell>
          <cell r="R48"/>
          <cell r="S48">
            <v>6493712.8099999996</v>
          </cell>
        </row>
        <row r="49">
          <cell r="H49">
            <v>340780790</v>
          </cell>
          <cell r="I49" t="str">
            <v>CLINIQUE SAINT ANTOINE</v>
          </cell>
          <cell r="J49">
            <v>667432</v>
          </cell>
          <cell r="K49">
            <v>4426328.51</v>
          </cell>
          <cell r="L49"/>
          <cell r="M49">
            <v>4075223</v>
          </cell>
          <cell r="O49">
            <v>532533</v>
          </cell>
          <cell r="P49">
            <v>54629.82</v>
          </cell>
          <cell r="Q49">
            <v>532533</v>
          </cell>
          <cell r="R49"/>
          <cell r="S49">
            <v>3820596.41</v>
          </cell>
        </row>
        <row r="50">
          <cell r="H50">
            <v>340780931</v>
          </cell>
          <cell r="I50" t="str">
            <v>CLINIQUE SAINT MARTIN VIGNOGOUL</v>
          </cell>
          <cell r="J50">
            <v>978246</v>
          </cell>
          <cell r="K50">
            <v>4226136.68</v>
          </cell>
          <cell r="L50"/>
          <cell r="M50">
            <v>5858045</v>
          </cell>
          <cell r="O50">
            <v>1042585</v>
          </cell>
          <cell r="P50">
            <v>53370.25</v>
          </cell>
          <cell r="Q50">
            <v>1042585</v>
          </cell>
          <cell r="R50"/>
          <cell r="S50">
            <v>4419543</v>
          </cell>
        </row>
        <row r="51">
          <cell r="H51">
            <v>460780554</v>
          </cell>
          <cell r="I51" t="str">
            <v>CENTRE HOSPITALIER SPECIALISE DE LEYME</v>
          </cell>
          <cell r="J51">
            <v>33987856</v>
          </cell>
          <cell r="K51">
            <v>4913382</v>
          </cell>
          <cell r="L51"/>
          <cell r="M51">
            <v>41100622</v>
          </cell>
          <cell r="N51"/>
          <cell r="O51">
            <v>35932637</v>
          </cell>
          <cell r="P51">
            <v>446003.05</v>
          </cell>
          <cell r="Q51">
            <v>35996637</v>
          </cell>
          <cell r="R51"/>
          <cell r="S51">
            <v>5206143.67</v>
          </cell>
        </row>
        <row r="52">
          <cell r="H52">
            <v>480000058</v>
          </cell>
          <cell r="I52" t="str">
            <v>CH FRANCOIS TOSQUELLES (Saint Alban)</v>
          </cell>
          <cell r="J52">
            <v>20715499</v>
          </cell>
          <cell r="K52">
            <v>2830020</v>
          </cell>
          <cell r="L52"/>
          <cell r="M52">
            <v>24986059</v>
          </cell>
          <cell r="N52"/>
          <cell r="O52">
            <v>22123834</v>
          </cell>
          <cell r="P52">
            <v>206019.96</v>
          </cell>
          <cell r="Q52">
            <v>22155834</v>
          </cell>
          <cell r="R52">
            <v>2948277.3</v>
          </cell>
          <cell r="S52">
            <v>2948277</v>
          </cell>
        </row>
        <row r="53">
          <cell r="H53">
            <v>650000060</v>
          </cell>
          <cell r="I53" t="str">
            <v>HOPITAUX DE LANNEMEZAN</v>
          </cell>
          <cell r="J53">
            <v>40356844</v>
          </cell>
          <cell r="K53">
            <v>8244963</v>
          </cell>
          <cell r="L53"/>
          <cell r="M53">
            <v>49278742</v>
          </cell>
          <cell r="N53"/>
          <cell r="O53">
            <v>41278011</v>
          </cell>
          <cell r="P53">
            <v>588998.36</v>
          </cell>
          <cell r="Q53">
            <v>41342011</v>
          </cell>
          <cell r="R53"/>
          <cell r="S53">
            <v>8493003.1300000008</v>
          </cell>
        </row>
        <row r="54">
          <cell r="H54">
            <v>650780729</v>
          </cell>
          <cell r="I54" t="str">
            <v>CLINIQUE MALADIES MENTALES LAMPRE</v>
          </cell>
          <cell r="J54">
            <v>369690</v>
          </cell>
          <cell r="K54">
            <v>1904603.38</v>
          </cell>
          <cell r="L54"/>
          <cell r="M54">
            <v>2563548</v>
          </cell>
          <cell r="O54">
            <v>413215</v>
          </cell>
          <cell r="P54">
            <v>17220.599999999999</v>
          </cell>
          <cell r="Q54">
            <v>413215</v>
          </cell>
          <cell r="R54"/>
          <cell r="S54">
            <v>2084884</v>
          </cell>
        </row>
        <row r="55">
          <cell r="H55">
            <v>650780737</v>
          </cell>
          <cell r="I55" t="str">
            <v>CLINIQUE MALADIES MENTALES LE PIETAT</v>
          </cell>
          <cell r="J55">
            <v>302132</v>
          </cell>
          <cell r="K55">
            <v>1419763.36</v>
          </cell>
          <cell r="L55"/>
          <cell r="M55">
            <v>1831825</v>
          </cell>
          <cell r="O55">
            <v>320467</v>
          </cell>
          <cell r="P55">
            <v>17925.59</v>
          </cell>
          <cell r="Q55">
            <v>320467</v>
          </cell>
          <cell r="R55">
            <v>1467840.16</v>
          </cell>
          <cell r="S55">
            <v>1467840</v>
          </cell>
        </row>
        <row r="56">
          <cell r="H56">
            <v>660000092</v>
          </cell>
          <cell r="I56" t="str">
            <v>CH SPECIALISE LEON JEAN GREGORY (Thuir)</v>
          </cell>
          <cell r="J56">
            <v>52759917</v>
          </cell>
          <cell r="K56">
            <v>9170658</v>
          </cell>
          <cell r="L56"/>
          <cell r="M56">
            <v>65187035</v>
          </cell>
          <cell r="N56"/>
          <cell r="O56">
            <v>53727065</v>
          </cell>
          <cell r="P56">
            <v>734682.02</v>
          </cell>
          <cell r="Q56">
            <v>53873061</v>
          </cell>
          <cell r="R56">
            <v>9133985.9700000007</v>
          </cell>
          <cell r="S56">
            <v>9481783.7699999996</v>
          </cell>
        </row>
        <row r="57">
          <cell r="H57">
            <v>660780214</v>
          </cell>
          <cell r="I57" t="str">
            <v>CLINIQUE SENSEVIA</v>
          </cell>
          <cell r="J57">
            <v>423863</v>
          </cell>
          <cell r="K57">
            <v>3689220.6</v>
          </cell>
          <cell r="L57"/>
          <cell r="M57">
            <v>3886368</v>
          </cell>
          <cell r="O57">
            <v>403605</v>
          </cell>
          <cell r="P57">
            <v>39666.71</v>
          </cell>
          <cell r="Q57">
            <v>403605</v>
          </cell>
          <cell r="R57"/>
          <cell r="S57">
            <v>3731577.81</v>
          </cell>
        </row>
        <row r="58">
          <cell r="H58">
            <v>660780248</v>
          </cell>
          <cell r="I58" t="str">
            <v>CLINIQUE DU PRE</v>
          </cell>
          <cell r="J58">
            <v>947316</v>
          </cell>
          <cell r="K58">
            <v>5799594.0599999996</v>
          </cell>
          <cell r="L58"/>
          <cell r="M58">
            <v>5530486</v>
          </cell>
          <cell r="O58">
            <v>872337</v>
          </cell>
          <cell r="P58">
            <v>63698.04</v>
          </cell>
          <cell r="Q58">
            <v>872337</v>
          </cell>
          <cell r="R58"/>
          <cell r="S58">
            <v>5236299.37</v>
          </cell>
        </row>
        <row r="59">
          <cell r="H59">
            <v>660780735</v>
          </cell>
          <cell r="I59" t="str">
            <v>CLINIQUE DU ROUSSILLON</v>
          </cell>
          <cell r="J59">
            <v>708732</v>
          </cell>
          <cell r="K59">
            <v>5861498.3000000007</v>
          </cell>
          <cell r="L59"/>
          <cell r="M59">
            <v>5974116</v>
          </cell>
          <cell r="O59">
            <v>663913</v>
          </cell>
          <cell r="P59">
            <v>48817.34</v>
          </cell>
          <cell r="Q59">
            <v>663913</v>
          </cell>
          <cell r="R59"/>
          <cell r="S59">
            <v>5292291</v>
          </cell>
        </row>
        <row r="60">
          <cell r="H60">
            <v>810000562</v>
          </cell>
          <cell r="I60" t="str">
            <v>CENTRE HOSPITALIER DE LAVAUR</v>
          </cell>
          <cell r="J60">
            <v>20716004</v>
          </cell>
          <cell r="K60">
            <v>3845947</v>
          </cell>
          <cell r="L60"/>
          <cell r="M60">
            <v>25592896</v>
          </cell>
          <cell r="N60"/>
          <cell r="O60">
            <v>21331942</v>
          </cell>
          <cell r="P60">
            <v>124541.16</v>
          </cell>
          <cell r="Q60">
            <v>21371542</v>
          </cell>
          <cell r="R60"/>
          <cell r="S60">
            <v>4154972.64</v>
          </cell>
        </row>
        <row r="61">
          <cell r="H61">
            <v>810002022</v>
          </cell>
          <cell r="I61" t="str">
            <v>CTRE HOSP SPECIALISE PIERRE JAMET ALBI</v>
          </cell>
          <cell r="J61">
            <v>44928551</v>
          </cell>
          <cell r="K61">
            <v>6972488</v>
          </cell>
          <cell r="L61"/>
          <cell r="M61">
            <v>62289314</v>
          </cell>
          <cell r="N61"/>
          <cell r="O61">
            <v>47216766</v>
          </cell>
          <cell r="P61">
            <v>614436.99</v>
          </cell>
          <cell r="Q61">
            <v>47280766</v>
          </cell>
          <cell r="R61">
            <v>7176935.2699999996</v>
          </cell>
          <cell r="S61">
            <v>7383978.4100000001</v>
          </cell>
        </row>
        <row r="62">
          <cell r="H62">
            <v>820000032</v>
          </cell>
          <cell r="I62" t="str">
            <v>CENTRE HOSPITALIER DE MONTAUBAN</v>
          </cell>
          <cell r="J62">
            <v>30158304</v>
          </cell>
          <cell r="K62">
            <v>6247134</v>
          </cell>
          <cell r="L62"/>
          <cell r="M62">
            <v>38312448</v>
          </cell>
          <cell r="N62"/>
          <cell r="O62">
            <v>30566271</v>
          </cell>
          <cell r="P62">
            <v>223855.98</v>
          </cell>
          <cell r="Q62">
            <v>30630271</v>
          </cell>
          <cell r="R62"/>
          <cell r="S62">
            <v>6208287</v>
          </cell>
        </row>
        <row r="63">
          <cell r="H63">
            <v>820003911</v>
          </cell>
          <cell r="I63" t="str">
            <v>PAVILLON LOU CAMIN</v>
          </cell>
          <cell r="J63">
            <v>2345233</v>
          </cell>
          <cell r="K63">
            <v>475531</v>
          </cell>
          <cell r="L63"/>
          <cell r="M63">
            <v>3241173</v>
          </cell>
          <cell r="N63"/>
          <cell r="O63">
            <v>2389939</v>
          </cell>
          <cell r="P63">
            <v>33146.93</v>
          </cell>
          <cell r="Q63">
            <v>2389939</v>
          </cell>
          <cell r="R63"/>
          <cell r="S63">
            <v>546363.41</v>
          </cell>
        </row>
        <row r="64">
          <cell r="H64">
            <v>820005908</v>
          </cell>
          <cell r="I64" t="str">
            <v>SECTORISATION PIJ MONTAUBAN ASEI</v>
          </cell>
          <cell r="J64">
            <v>292591</v>
          </cell>
          <cell r="K64"/>
          <cell r="L64"/>
          <cell r="M64" t="str">
            <v>na</v>
          </cell>
          <cell r="N64"/>
          <cell r="O64">
            <v>301520</v>
          </cell>
          <cell r="P64">
            <v>3218.96</v>
          </cell>
          <cell r="Q64">
            <v>301520</v>
          </cell>
          <cell r="R64"/>
          <cell r="S64">
            <v>0</v>
          </cell>
        </row>
      </sheetData>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FHP Occitanie) Lucie BOYER" id="{52649BC2-DD2A-472F-AD93-3B84768E75FC}" userId="S::economiste@fhpoccitanie.fr::f7fe2fa4-0f05-4135-8dc8-64423215a235" providerId="AD"/>
  <person displayName="(FHP Occitanie) Salma ABOUZOUL" id="{826BE53E-B396-45C0-AB64-5301BABE0179}" userId="S::apprenti.fhp@fhpoccitanie.fr::a9a70b62-28d5-4be5-be56-1ce53386d265"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8" dT="2023-09-05T09:25:19.29" personId="{826BE53E-B396-45C0-AB64-5301BABE0179}" id="{F281D3AF-CEA8-488E-9F08-F9F6D57D0CE1}">
    <text>EG FINESS RAA = 310018676</text>
  </threadedComment>
  <threadedComment ref="A28" dT="2025-03-26T10:03:45.65" personId="{52649BC2-DD2A-472F-AD93-3B84768E75FC}" id="{C3D70FC6-E543-4EFC-84D6-601D472B2AF7}" parentId="{F281D3AF-CEA8-488E-9F08-F9F6D57D0CE1}">
    <text>EG FINESS RAA : 310780895</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585D8-AAF4-4527-8224-BA6A4B904D85}">
  <sheetPr codeName="Feuil6"/>
  <dimension ref="A1:R8"/>
  <sheetViews>
    <sheetView workbookViewId="0">
      <selection activeCell="A4" sqref="A4"/>
    </sheetView>
  </sheetViews>
  <sheetFormatPr baseColWidth="10" defaultRowHeight="15" x14ac:dyDescent="0.25"/>
  <sheetData>
    <row r="1" spans="1:18" x14ac:dyDescent="0.25">
      <c r="A1" s="263" t="s">
        <v>500</v>
      </c>
      <c r="B1" s="262"/>
      <c r="C1" s="262"/>
      <c r="D1" s="262"/>
      <c r="E1" s="262"/>
    </row>
    <row r="3" spans="1:18" ht="35.1" customHeight="1" x14ac:dyDescent="0.25">
      <c r="A3" s="265" t="s">
        <v>522</v>
      </c>
      <c r="B3" s="264"/>
      <c r="C3" s="264"/>
      <c r="D3" s="264"/>
      <c r="E3" s="264"/>
      <c r="F3" s="264"/>
      <c r="G3" s="264"/>
      <c r="H3" s="264"/>
      <c r="I3" s="264"/>
      <c r="J3" s="264"/>
      <c r="K3" s="264"/>
      <c r="L3" s="264"/>
    </row>
    <row r="5" spans="1:18" ht="80.099999999999994" customHeight="1" x14ac:dyDescent="0.25">
      <c r="A5" s="266" t="s">
        <v>501</v>
      </c>
      <c r="B5" s="255"/>
      <c r="C5" s="255"/>
      <c r="D5" s="255"/>
      <c r="E5" s="255"/>
      <c r="F5" s="255"/>
      <c r="G5" s="255"/>
      <c r="H5" s="255"/>
      <c r="I5" s="255"/>
      <c r="J5" s="255"/>
      <c r="K5" s="255"/>
      <c r="L5" s="255"/>
    </row>
    <row r="7" spans="1:18" ht="230.1" customHeight="1" x14ac:dyDescent="0.25">
      <c r="A7" s="265" t="s">
        <v>521</v>
      </c>
      <c r="B7" s="264"/>
      <c r="C7" s="264"/>
      <c r="D7" s="264"/>
      <c r="E7" s="264"/>
      <c r="F7" s="264"/>
      <c r="G7" s="264"/>
      <c r="H7" s="264"/>
      <c r="I7" s="264"/>
      <c r="J7" s="264"/>
      <c r="K7" s="264"/>
      <c r="L7" s="264"/>
      <c r="M7" s="264"/>
      <c r="N7" s="264"/>
      <c r="O7" s="264"/>
      <c r="P7" s="264"/>
      <c r="Q7" s="264"/>
      <c r="R7" s="264"/>
    </row>
    <row r="8" spans="1:18" x14ac:dyDescent="0.25">
      <c r="A8" s="74"/>
    </row>
  </sheetData>
  <mergeCells count="4">
    <mergeCell ref="A1:E1"/>
    <mergeCell ref="A3:L3"/>
    <mergeCell ref="A5:L5"/>
    <mergeCell ref="A7:R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4442-6305-4E50-9EF5-80A003739DA1}">
  <sheetPr codeName="Feuil1" filterMode="1"/>
  <dimension ref="A1:BD167"/>
  <sheetViews>
    <sheetView zoomScaleNormal="100" workbookViewId="0">
      <selection activeCell="G2" sqref="G2"/>
    </sheetView>
  </sheetViews>
  <sheetFormatPr baseColWidth="10" defaultRowHeight="15" x14ac:dyDescent="0.25"/>
  <sheetData>
    <row r="1" spans="1:56" x14ac:dyDescent="0.25">
      <c r="A1" t="s">
        <v>0</v>
      </c>
      <c r="B1" t="s">
        <v>1</v>
      </c>
      <c r="C1" t="s">
        <v>2</v>
      </c>
      <c r="D1" t="s">
        <v>3</v>
      </c>
      <c r="E1" t="s">
        <v>4</v>
      </c>
      <c r="F1" s="278" t="s">
        <v>387</v>
      </c>
      <c r="G1" t="s">
        <v>5</v>
      </c>
      <c r="H1" s="74"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row>
    <row r="2" spans="1:56" x14ac:dyDescent="0.25">
      <c r="A2" t="s">
        <v>55</v>
      </c>
      <c r="B2" t="s">
        <v>56</v>
      </c>
      <c r="C2" t="s">
        <v>64</v>
      </c>
      <c r="D2" t="s">
        <v>65</v>
      </c>
      <c r="E2" t="s">
        <v>66</v>
      </c>
      <c r="G2" t="s">
        <v>57</v>
      </c>
      <c r="H2" t="s">
        <v>58</v>
      </c>
      <c r="I2">
        <v>2</v>
      </c>
      <c r="J2" t="s">
        <v>58</v>
      </c>
      <c r="K2" t="s">
        <v>58</v>
      </c>
      <c r="L2">
        <v>75</v>
      </c>
      <c r="M2">
        <v>12</v>
      </c>
      <c r="N2" t="s">
        <v>58</v>
      </c>
      <c r="O2" t="s">
        <v>58</v>
      </c>
      <c r="P2" t="s">
        <v>58</v>
      </c>
      <c r="Q2" t="s">
        <v>58</v>
      </c>
      <c r="R2">
        <v>27375</v>
      </c>
      <c r="S2">
        <v>30</v>
      </c>
      <c r="T2">
        <v>5</v>
      </c>
      <c r="U2" t="s">
        <v>58</v>
      </c>
      <c r="V2">
        <v>979</v>
      </c>
      <c r="W2">
        <v>24627</v>
      </c>
      <c r="X2">
        <v>506</v>
      </c>
      <c r="Y2" t="s">
        <v>58</v>
      </c>
      <c r="Z2" t="s">
        <v>58</v>
      </c>
      <c r="AA2" t="s">
        <v>58</v>
      </c>
      <c r="AB2" t="s">
        <v>58</v>
      </c>
      <c r="AC2">
        <v>3737</v>
      </c>
      <c r="AD2">
        <v>0</v>
      </c>
      <c r="AE2" t="s">
        <v>58</v>
      </c>
      <c r="AF2">
        <v>4</v>
      </c>
      <c r="AG2">
        <v>1</v>
      </c>
      <c r="AH2">
        <v>2</v>
      </c>
      <c r="AI2">
        <v>37561</v>
      </c>
      <c r="AJ2">
        <v>852</v>
      </c>
      <c r="AK2">
        <v>2734</v>
      </c>
      <c r="AL2">
        <v>1082</v>
      </c>
      <c r="AM2">
        <v>38</v>
      </c>
      <c r="AN2">
        <v>5124</v>
      </c>
      <c r="AO2" t="s">
        <v>58</v>
      </c>
      <c r="AP2">
        <v>5331</v>
      </c>
      <c r="AQ2">
        <v>4742</v>
      </c>
      <c r="AR2" t="s">
        <v>58</v>
      </c>
      <c r="AS2">
        <v>7.33</v>
      </c>
      <c r="AT2" t="s">
        <v>58</v>
      </c>
      <c r="AU2">
        <v>1.5</v>
      </c>
      <c r="AV2">
        <v>1</v>
      </c>
      <c r="AW2">
        <v>1</v>
      </c>
      <c r="AX2" t="s">
        <v>58</v>
      </c>
      <c r="AY2">
        <v>171.57</v>
      </c>
      <c r="AZ2">
        <v>106.01</v>
      </c>
      <c r="BA2">
        <v>24.96</v>
      </c>
      <c r="BB2">
        <v>10.38</v>
      </c>
      <c r="BC2">
        <v>4.75</v>
      </c>
      <c r="BD2">
        <v>4.17</v>
      </c>
    </row>
    <row r="3" spans="1:56" x14ac:dyDescent="0.25">
      <c r="A3" t="s">
        <v>55</v>
      </c>
      <c r="B3" t="s">
        <v>56</v>
      </c>
      <c r="C3" t="s">
        <v>64</v>
      </c>
      <c r="D3" t="s">
        <v>65</v>
      </c>
      <c r="E3" t="s">
        <v>66</v>
      </c>
      <c r="F3" s="273">
        <v>90781816</v>
      </c>
      <c r="G3" t="s">
        <v>59</v>
      </c>
      <c r="H3" t="s">
        <v>58</v>
      </c>
      <c r="I3">
        <v>1</v>
      </c>
      <c r="J3" t="s">
        <v>58</v>
      </c>
      <c r="K3" t="s">
        <v>58</v>
      </c>
      <c r="L3">
        <v>7</v>
      </c>
      <c r="M3">
        <v>7</v>
      </c>
      <c r="N3" t="s">
        <v>58</v>
      </c>
      <c r="O3" t="s">
        <v>58</v>
      </c>
      <c r="P3" t="s">
        <v>58</v>
      </c>
      <c r="Q3" t="s">
        <v>58</v>
      </c>
      <c r="R3">
        <v>2555</v>
      </c>
      <c r="S3">
        <v>20</v>
      </c>
      <c r="T3" t="s">
        <v>58</v>
      </c>
      <c r="U3" t="s">
        <v>58</v>
      </c>
      <c r="V3">
        <v>96</v>
      </c>
      <c r="W3">
        <v>2104</v>
      </c>
      <c r="X3">
        <v>1965</v>
      </c>
      <c r="Y3" t="s">
        <v>58</v>
      </c>
      <c r="Z3" t="s">
        <v>58</v>
      </c>
      <c r="AA3" t="s">
        <v>58</v>
      </c>
      <c r="AB3" t="s">
        <v>58</v>
      </c>
      <c r="AC3">
        <v>1936</v>
      </c>
      <c r="AD3" t="s">
        <v>58</v>
      </c>
      <c r="AE3" t="s">
        <v>58</v>
      </c>
      <c r="AF3">
        <v>3</v>
      </c>
      <c r="AG3">
        <v>1</v>
      </c>
      <c r="AH3">
        <v>1</v>
      </c>
      <c r="AI3">
        <v>8248</v>
      </c>
      <c r="AJ3">
        <v>160</v>
      </c>
      <c r="AK3">
        <v>69</v>
      </c>
      <c r="AL3">
        <v>11</v>
      </c>
      <c r="AM3">
        <v>3</v>
      </c>
      <c r="AN3">
        <v>203</v>
      </c>
      <c r="AO3">
        <v>11</v>
      </c>
      <c r="AP3">
        <v>990</v>
      </c>
      <c r="AQ3">
        <v>873</v>
      </c>
      <c r="AR3" t="s">
        <v>58</v>
      </c>
      <c r="AS3">
        <v>4.01</v>
      </c>
      <c r="AT3" t="s">
        <v>58</v>
      </c>
      <c r="AU3" t="s">
        <v>58</v>
      </c>
      <c r="AV3">
        <v>1</v>
      </c>
      <c r="AW3">
        <v>1</v>
      </c>
      <c r="AX3" t="s">
        <v>58</v>
      </c>
      <c r="AY3">
        <v>57.73</v>
      </c>
      <c r="AZ3">
        <v>28.48</v>
      </c>
      <c r="BA3">
        <v>3</v>
      </c>
      <c r="BB3">
        <v>8.9700000000000006</v>
      </c>
      <c r="BC3">
        <v>4.67</v>
      </c>
      <c r="BD3">
        <v>5.78</v>
      </c>
    </row>
    <row r="4" spans="1:56" x14ac:dyDescent="0.25">
      <c r="A4" t="s">
        <v>55</v>
      </c>
      <c r="B4" t="s">
        <v>56</v>
      </c>
      <c r="C4" t="s">
        <v>64</v>
      </c>
      <c r="D4" t="s">
        <v>65</v>
      </c>
      <c r="E4" t="s">
        <v>66</v>
      </c>
      <c r="F4" s="273">
        <v>90781816</v>
      </c>
      <c r="G4" t="s">
        <v>60</v>
      </c>
      <c r="H4" t="s">
        <v>58</v>
      </c>
      <c r="I4" t="s">
        <v>58</v>
      </c>
      <c r="J4" t="s">
        <v>58</v>
      </c>
      <c r="K4" t="s">
        <v>58</v>
      </c>
      <c r="L4" t="s">
        <v>58</v>
      </c>
      <c r="M4" t="s">
        <v>58</v>
      </c>
      <c r="N4" t="s">
        <v>58</v>
      </c>
      <c r="O4" t="s">
        <v>58</v>
      </c>
      <c r="P4" t="s">
        <v>58</v>
      </c>
      <c r="Q4" t="s">
        <v>58</v>
      </c>
      <c r="R4" t="s">
        <v>58</v>
      </c>
      <c r="S4" t="s">
        <v>58</v>
      </c>
      <c r="T4" t="s">
        <v>58</v>
      </c>
      <c r="U4" t="s">
        <v>58</v>
      </c>
      <c r="V4" t="s">
        <v>58</v>
      </c>
      <c r="W4" t="s">
        <v>58</v>
      </c>
      <c r="X4" t="s">
        <v>58</v>
      </c>
      <c r="Y4" t="s">
        <v>58</v>
      </c>
      <c r="Z4" t="s">
        <v>58</v>
      </c>
      <c r="AA4" t="s">
        <v>58</v>
      </c>
      <c r="AB4" t="s">
        <v>58</v>
      </c>
      <c r="AC4" t="s">
        <v>58</v>
      </c>
      <c r="AD4" t="s">
        <v>58</v>
      </c>
      <c r="AE4" t="s">
        <v>58</v>
      </c>
      <c r="AF4" t="s">
        <v>58</v>
      </c>
      <c r="AG4" t="s">
        <v>58</v>
      </c>
      <c r="AH4" t="s">
        <v>58</v>
      </c>
      <c r="AI4" t="s">
        <v>58</v>
      </c>
      <c r="AJ4" t="s">
        <v>58</v>
      </c>
      <c r="AK4" t="s">
        <v>58</v>
      </c>
      <c r="AL4">
        <v>2736</v>
      </c>
      <c r="AM4" t="s">
        <v>58</v>
      </c>
      <c r="AN4" t="s">
        <v>58</v>
      </c>
      <c r="AO4" t="s">
        <v>58</v>
      </c>
      <c r="AP4">
        <v>285</v>
      </c>
      <c r="AQ4">
        <v>285</v>
      </c>
      <c r="AR4" t="s">
        <v>58</v>
      </c>
      <c r="AS4">
        <v>0.1</v>
      </c>
      <c r="AT4" t="s">
        <v>58</v>
      </c>
      <c r="AU4" t="s">
        <v>58</v>
      </c>
      <c r="AV4" t="s">
        <v>58</v>
      </c>
      <c r="AW4" t="s">
        <v>58</v>
      </c>
      <c r="AX4" t="s">
        <v>58</v>
      </c>
      <c r="AY4">
        <v>1.67</v>
      </c>
      <c r="AZ4">
        <v>1.5</v>
      </c>
      <c r="BA4" t="s">
        <v>58</v>
      </c>
      <c r="BB4">
        <v>0.17</v>
      </c>
      <c r="BC4" t="s">
        <v>58</v>
      </c>
      <c r="BD4" t="s">
        <v>58</v>
      </c>
    </row>
    <row r="5" spans="1:56" hidden="1" x14ac:dyDescent="0.25">
      <c r="A5" t="s">
        <v>55</v>
      </c>
      <c r="B5" t="s">
        <v>56</v>
      </c>
      <c r="C5" t="s">
        <v>64</v>
      </c>
      <c r="D5" t="s">
        <v>65</v>
      </c>
      <c r="E5" t="s">
        <v>66</v>
      </c>
      <c r="G5" t="s">
        <v>61</v>
      </c>
      <c r="H5">
        <v>1</v>
      </c>
      <c r="I5" t="s">
        <v>58</v>
      </c>
      <c r="J5">
        <v>1</v>
      </c>
      <c r="K5">
        <v>1</v>
      </c>
      <c r="L5">
        <v>82</v>
      </c>
      <c r="M5">
        <v>19</v>
      </c>
      <c r="N5" t="s">
        <v>58</v>
      </c>
      <c r="O5" t="s">
        <v>58</v>
      </c>
      <c r="P5" t="s">
        <v>58</v>
      </c>
      <c r="Q5" t="s">
        <v>58</v>
      </c>
      <c r="R5">
        <v>29930</v>
      </c>
      <c r="S5">
        <v>50</v>
      </c>
      <c r="T5">
        <v>5</v>
      </c>
      <c r="U5" t="s">
        <v>58</v>
      </c>
      <c r="V5">
        <v>1075</v>
      </c>
      <c r="W5">
        <v>26731</v>
      </c>
      <c r="X5">
        <v>2471</v>
      </c>
      <c r="Y5" t="s">
        <v>58</v>
      </c>
      <c r="Z5" t="s">
        <v>58</v>
      </c>
      <c r="AA5" t="s">
        <v>58</v>
      </c>
      <c r="AB5" t="s">
        <v>58</v>
      </c>
      <c r="AC5">
        <v>5673</v>
      </c>
      <c r="AD5">
        <v>0</v>
      </c>
      <c r="AE5" t="s">
        <v>58</v>
      </c>
      <c r="AF5">
        <v>7</v>
      </c>
      <c r="AG5">
        <v>2</v>
      </c>
      <c r="AH5">
        <v>3</v>
      </c>
      <c r="AI5">
        <v>45809</v>
      </c>
      <c r="AJ5">
        <v>1012</v>
      </c>
      <c r="AK5">
        <v>2803</v>
      </c>
      <c r="AL5">
        <v>3829</v>
      </c>
      <c r="AM5">
        <v>41</v>
      </c>
      <c r="AN5">
        <v>5327</v>
      </c>
      <c r="AO5">
        <v>11</v>
      </c>
      <c r="AP5">
        <v>6216</v>
      </c>
      <c r="AQ5">
        <v>5512</v>
      </c>
      <c r="AR5" t="s">
        <v>58</v>
      </c>
      <c r="AS5">
        <v>11.44</v>
      </c>
      <c r="AT5" t="s">
        <v>58</v>
      </c>
      <c r="AU5">
        <v>1.5</v>
      </c>
      <c r="AV5" t="s">
        <v>58</v>
      </c>
      <c r="AW5" t="s">
        <v>58</v>
      </c>
      <c r="AX5" t="s">
        <v>58</v>
      </c>
      <c r="AY5">
        <v>230.97</v>
      </c>
      <c r="AZ5">
        <v>135.99</v>
      </c>
      <c r="BA5">
        <v>27.96</v>
      </c>
      <c r="BB5">
        <v>19.52</v>
      </c>
      <c r="BC5">
        <v>9.42</v>
      </c>
      <c r="BD5">
        <v>9.9499999999999993</v>
      </c>
    </row>
    <row r="6" spans="1:56" x14ac:dyDescent="0.25">
      <c r="A6" t="s">
        <v>55</v>
      </c>
      <c r="B6" t="s">
        <v>56</v>
      </c>
      <c r="C6" t="s">
        <v>67</v>
      </c>
      <c r="D6" t="s">
        <v>68</v>
      </c>
      <c r="E6" t="s">
        <v>69</v>
      </c>
      <c r="G6" t="s">
        <v>57</v>
      </c>
      <c r="H6" t="s">
        <v>58</v>
      </c>
      <c r="I6">
        <v>1</v>
      </c>
      <c r="J6" t="s">
        <v>58</v>
      </c>
      <c r="K6" t="s">
        <v>58</v>
      </c>
      <c r="L6">
        <v>49</v>
      </c>
      <c r="M6">
        <v>1</v>
      </c>
      <c r="N6">
        <v>5</v>
      </c>
      <c r="O6">
        <v>0</v>
      </c>
      <c r="P6">
        <v>0</v>
      </c>
      <c r="Q6">
        <v>0</v>
      </c>
      <c r="R6">
        <v>20075</v>
      </c>
      <c r="S6">
        <v>20</v>
      </c>
      <c r="T6">
        <v>0</v>
      </c>
      <c r="U6">
        <v>0</v>
      </c>
      <c r="V6">
        <v>381</v>
      </c>
      <c r="W6">
        <v>10632</v>
      </c>
      <c r="X6">
        <v>333</v>
      </c>
      <c r="Y6">
        <v>1221</v>
      </c>
      <c r="Z6">
        <v>0</v>
      </c>
      <c r="AA6">
        <v>0</v>
      </c>
      <c r="AB6">
        <v>0</v>
      </c>
      <c r="AC6">
        <v>4022</v>
      </c>
      <c r="AD6">
        <v>0</v>
      </c>
      <c r="AE6">
        <v>0</v>
      </c>
      <c r="AF6">
        <v>2</v>
      </c>
      <c r="AG6" t="s">
        <v>58</v>
      </c>
      <c r="AH6" t="s">
        <v>58</v>
      </c>
      <c r="AI6">
        <v>14263</v>
      </c>
      <c r="AJ6" t="s">
        <v>58</v>
      </c>
      <c r="AK6" t="s">
        <v>58</v>
      </c>
      <c r="AL6">
        <v>566</v>
      </c>
      <c r="AM6">
        <v>1</v>
      </c>
      <c r="AN6">
        <v>2211</v>
      </c>
      <c r="AO6">
        <v>0</v>
      </c>
      <c r="AP6">
        <v>2346</v>
      </c>
      <c r="AQ6">
        <v>2018</v>
      </c>
      <c r="AR6" t="s">
        <v>58</v>
      </c>
      <c r="AS6">
        <v>5.36</v>
      </c>
      <c r="AT6" t="s">
        <v>58</v>
      </c>
      <c r="AU6">
        <v>0.19</v>
      </c>
      <c r="AV6">
        <v>0</v>
      </c>
      <c r="AW6">
        <v>1</v>
      </c>
      <c r="AX6" t="s">
        <v>58</v>
      </c>
      <c r="AY6">
        <v>55.08</v>
      </c>
      <c r="AZ6">
        <v>41.63</v>
      </c>
      <c r="BA6">
        <v>5.86</v>
      </c>
      <c r="BB6">
        <v>4.7300000000000004</v>
      </c>
      <c r="BC6">
        <v>2.86</v>
      </c>
      <c r="BD6" t="s">
        <v>58</v>
      </c>
    </row>
    <row r="7" spans="1:56" x14ac:dyDescent="0.25">
      <c r="A7" t="s">
        <v>55</v>
      </c>
      <c r="B7" t="s">
        <v>56</v>
      </c>
      <c r="C7" t="s">
        <v>67</v>
      </c>
      <c r="D7" t="s">
        <v>68</v>
      </c>
      <c r="E7" t="s">
        <v>69</v>
      </c>
      <c r="F7" s="279">
        <v>310780895</v>
      </c>
      <c r="G7" t="s">
        <v>59</v>
      </c>
      <c r="H7" t="s">
        <v>58</v>
      </c>
      <c r="I7">
        <v>1</v>
      </c>
      <c r="J7" t="s">
        <v>58</v>
      </c>
      <c r="K7" t="s">
        <v>58</v>
      </c>
      <c r="L7">
        <v>0</v>
      </c>
      <c r="M7">
        <v>0</v>
      </c>
      <c r="N7" t="s">
        <v>58</v>
      </c>
      <c r="O7" t="s">
        <v>58</v>
      </c>
      <c r="P7">
        <v>0</v>
      </c>
      <c r="Q7">
        <v>0</v>
      </c>
      <c r="R7">
        <v>0</v>
      </c>
      <c r="S7">
        <v>18</v>
      </c>
      <c r="T7">
        <v>0</v>
      </c>
      <c r="U7">
        <v>0</v>
      </c>
      <c r="V7">
        <v>0</v>
      </c>
      <c r="W7" t="s">
        <v>58</v>
      </c>
      <c r="X7" t="s">
        <v>58</v>
      </c>
      <c r="Y7" t="s">
        <v>58</v>
      </c>
      <c r="Z7" t="s">
        <v>58</v>
      </c>
      <c r="AA7" t="s">
        <v>58</v>
      </c>
      <c r="AB7" t="s">
        <v>58</v>
      </c>
      <c r="AC7">
        <v>2395</v>
      </c>
      <c r="AD7">
        <v>0</v>
      </c>
      <c r="AE7">
        <v>0</v>
      </c>
      <c r="AF7">
        <v>2</v>
      </c>
      <c r="AG7" t="s">
        <v>58</v>
      </c>
      <c r="AH7" t="s">
        <v>58</v>
      </c>
      <c r="AI7">
        <v>9334</v>
      </c>
      <c r="AJ7" t="s">
        <v>58</v>
      </c>
      <c r="AK7" t="s">
        <v>58</v>
      </c>
      <c r="AL7">
        <v>59</v>
      </c>
      <c r="AM7">
        <v>43</v>
      </c>
      <c r="AN7">
        <v>6660</v>
      </c>
      <c r="AO7">
        <v>57</v>
      </c>
      <c r="AP7">
        <v>1120</v>
      </c>
      <c r="AQ7">
        <v>1014</v>
      </c>
      <c r="AR7" t="s">
        <v>58</v>
      </c>
      <c r="AS7">
        <v>4.5999999999999996</v>
      </c>
      <c r="AT7" t="s">
        <v>58</v>
      </c>
      <c r="AU7" t="s">
        <v>58</v>
      </c>
      <c r="AV7" t="s">
        <v>58</v>
      </c>
      <c r="AW7" t="s">
        <v>58</v>
      </c>
      <c r="AX7" t="s">
        <v>58</v>
      </c>
      <c r="AY7">
        <v>34.69</v>
      </c>
      <c r="AZ7">
        <v>15.39</v>
      </c>
      <c r="BA7" t="s">
        <v>58</v>
      </c>
      <c r="BB7">
        <v>8.32</v>
      </c>
      <c r="BC7">
        <v>4.8</v>
      </c>
      <c r="BD7">
        <v>6.18</v>
      </c>
    </row>
    <row r="8" spans="1:56" hidden="1" x14ac:dyDescent="0.25">
      <c r="A8" t="s">
        <v>55</v>
      </c>
      <c r="B8" t="s">
        <v>56</v>
      </c>
      <c r="C8" t="s">
        <v>67</v>
      </c>
      <c r="D8" t="s">
        <v>68</v>
      </c>
      <c r="E8" t="s">
        <v>69</v>
      </c>
      <c r="G8" t="s">
        <v>61</v>
      </c>
      <c r="H8">
        <v>1</v>
      </c>
      <c r="I8" t="s">
        <v>58</v>
      </c>
      <c r="J8">
        <v>2</v>
      </c>
      <c r="K8">
        <v>0</v>
      </c>
      <c r="L8">
        <v>49</v>
      </c>
      <c r="M8">
        <v>1</v>
      </c>
      <c r="N8">
        <v>5</v>
      </c>
      <c r="O8">
        <v>0</v>
      </c>
      <c r="P8">
        <v>0</v>
      </c>
      <c r="Q8">
        <v>0</v>
      </c>
      <c r="R8">
        <v>20075</v>
      </c>
      <c r="S8">
        <v>38</v>
      </c>
      <c r="T8">
        <v>0</v>
      </c>
      <c r="U8">
        <v>0</v>
      </c>
      <c r="V8">
        <v>381</v>
      </c>
      <c r="W8">
        <v>10632</v>
      </c>
      <c r="X8">
        <v>333</v>
      </c>
      <c r="Y8">
        <v>1221</v>
      </c>
      <c r="Z8">
        <v>0</v>
      </c>
      <c r="AA8">
        <v>0</v>
      </c>
      <c r="AB8">
        <v>0</v>
      </c>
      <c r="AC8">
        <v>6417</v>
      </c>
      <c r="AD8">
        <v>0</v>
      </c>
      <c r="AE8">
        <v>0</v>
      </c>
      <c r="AF8">
        <v>4</v>
      </c>
      <c r="AG8" t="s">
        <v>58</v>
      </c>
      <c r="AH8" t="s">
        <v>58</v>
      </c>
      <c r="AI8">
        <v>23597</v>
      </c>
      <c r="AJ8" t="s">
        <v>58</v>
      </c>
      <c r="AK8" t="s">
        <v>58</v>
      </c>
      <c r="AL8">
        <v>625</v>
      </c>
      <c r="AM8">
        <v>44</v>
      </c>
      <c r="AN8">
        <v>8871</v>
      </c>
      <c r="AO8">
        <v>57</v>
      </c>
      <c r="AP8">
        <v>3439</v>
      </c>
      <c r="AQ8">
        <v>3013</v>
      </c>
      <c r="AR8" t="s">
        <v>58</v>
      </c>
      <c r="AS8">
        <v>9.9600000000000009</v>
      </c>
      <c r="AT8" t="s">
        <v>58</v>
      </c>
      <c r="AU8">
        <v>0.19</v>
      </c>
      <c r="AV8" t="s">
        <v>58</v>
      </c>
      <c r="AW8" t="s">
        <v>58</v>
      </c>
      <c r="AX8" t="s">
        <v>58</v>
      </c>
      <c r="AY8">
        <v>89.77</v>
      </c>
      <c r="AZ8">
        <v>57.02</v>
      </c>
      <c r="BA8">
        <v>5.86</v>
      </c>
      <c r="BB8">
        <v>13.05</v>
      </c>
      <c r="BC8">
        <v>7.66</v>
      </c>
      <c r="BD8">
        <v>6.18</v>
      </c>
    </row>
    <row r="9" spans="1:56" x14ac:dyDescent="0.25">
      <c r="A9" t="s">
        <v>55</v>
      </c>
      <c r="B9" t="s">
        <v>56</v>
      </c>
      <c r="C9" t="s">
        <v>70</v>
      </c>
      <c r="D9" t="s">
        <v>71</v>
      </c>
      <c r="E9" t="s">
        <v>72</v>
      </c>
      <c r="G9" t="s">
        <v>57</v>
      </c>
      <c r="H9" t="s">
        <v>58</v>
      </c>
      <c r="I9" t="s">
        <v>58</v>
      </c>
      <c r="J9" t="s">
        <v>58</v>
      </c>
      <c r="K9" t="s">
        <v>58</v>
      </c>
      <c r="L9">
        <v>74</v>
      </c>
      <c r="M9" t="s">
        <v>58</v>
      </c>
      <c r="N9" t="s">
        <v>58</v>
      </c>
      <c r="O9" t="s">
        <v>58</v>
      </c>
      <c r="P9" t="s">
        <v>58</v>
      </c>
      <c r="Q9" t="s">
        <v>58</v>
      </c>
      <c r="R9">
        <v>27010</v>
      </c>
      <c r="S9" t="s">
        <v>58</v>
      </c>
      <c r="T9" t="s">
        <v>58</v>
      </c>
      <c r="U9" t="s">
        <v>58</v>
      </c>
      <c r="V9">
        <v>452</v>
      </c>
      <c r="W9">
        <v>26510</v>
      </c>
      <c r="X9" t="s">
        <v>58</v>
      </c>
      <c r="Y9" t="s">
        <v>58</v>
      </c>
      <c r="Z9" t="s">
        <v>58</v>
      </c>
      <c r="AA9" t="s">
        <v>58</v>
      </c>
      <c r="AB9" t="s">
        <v>58</v>
      </c>
      <c r="AC9" t="s">
        <v>58</v>
      </c>
      <c r="AD9" t="s">
        <v>58</v>
      </c>
      <c r="AE9" t="s">
        <v>58</v>
      </c>
      <c r="AF9" t="s">
        <v>58</v>
      </c>
      <c r="AG9" t="s">
        <v>58</v>
      </c>
      <c r="AH9" t="s">
        <v>58</v>
      </c>
      <c r="AI9" t="s">
        <v>58</v>
      </c>
      <c r="AJ9" t="s">
        <v>58</v>
      </c>
      <c r="AK9" t="s">
        <v>58</v>
      </c>
      <c r="AL9" t="s">
        <v>58</v>
      </c>
      <c r="AM9" t="s">
        <v>58</v>
      </c>
      <c r="AN9" t="s">
        <v>58</v>
      </c>
      <c r="AO9" t="s">
        <v>58</v>
      </c>
      <c r="AP9">
        <v>379</v>
      </c>
      <c r="AQ9" t="s">
        <v>58</v>
      </c>
      <c r="AR9">
        <v>3</v>
      </c>
      <c r="AS9" t="s">
        <v>58</v>
      </c>
      <c r="AT9">
        <v>1</v>
      </c>
      <c r="AU9" t="s">
        <v>58</v>
      </c>
      <c r="AV9">
        <v>0</v>
      </c>
      <c r="AW9">
        <v>1</v>
      </c>
      <c r="AX9">
        <v>1</v>
      </c>
      <c r="AY9">
        <v>39.92</v>
      </c>
      <c r="AZ9">
        <v>12.07</v>
      </c>
      <c r="BA9">
        <v>7.59</v>
      </c>
      <c r="BB9">
        <v>1.17</v>
      </c>
      <c r="BC9" t="s">
        <v>58</v>
      </c>
      <c r="BD9">
        <v>0.66</v>
      </c>
    </row>
    <row r="10" spans="1:56" hidden="1" x14ac:dyDescent="0.25">
      <c r="A10" t="s">
        <v>55</v>
      </c>
      <c r="B10" t="s">
        <v>56</v>
      </c>
      <c r="C10" t="s">
        <v>70</v>
      </c>
      <c r="D10" t="s">
        <v>71</v>
      </c>
      <c r="E10" t="s">
        <v>72</v>
      </c>
      <c r="G10" t="s">
        <v>61</v>
      </c>
      <c r="H10">
        <v>0</v>
      </c>
      <c r="I10" t="s">
        <v>58</v>
      </c>
      <c r="J10" t="s">
        <v>58</v>
      </c>
      <c r="K10">
        <v>0</v>
      </c>
      <c r="L10">
        <v>74</v>
      </c>
      <c r="M10" t="s">
        <v>58</v>
      </c>
      <c r="N10" t="s">
        <v>58</v>
      </c>
      <c r="O10" t="s">
        <v>58</v>
      </c>
      <c r="P10" t="s">
        <v>58</v>
      </c>
      <c r="Q10" t="s">
        <v>58</v>
      </c>
      <c r="R10">
        <v>27010</v>
      </c>
      <c r="S10" t="s">
        <v>58</v>
      </c>
      <c r="T10" t="s">
        <v>58</v>
      </c>
      <c r="U10" t="s">
        <v>58</v>
      </c>
      <c r="V10">
        <v>452</v>
      </c>
      <c r="W10">
        <v>26510</v>
      </c>
      <c r="X10" t="s">
        <v>58</v>
      </c>
      <c r="Y10" t="s">
        <v>58</v>
      </c>
      <c r="Z10" t="s">
        <v>58</v>
      </c>
      <c r="AA10" t="s">
        <v>58</v>
      </c>
      <c r="AB10" t="s">
        <v>58</v>
      </c>
      <c r="AC10" t="s">
        <v>58</v>
      </c>
      <c r="AD10" t="s">
        <v>58</v>
      </c>
      <c r="AE10" t="s">
        <v>58</v>
      </c>
      <c r="AF10" t="s">
        <v>58</v>
      </c>
      <c r="AG10" t="s">
        <v>58</v>
      </c>
      <c r="AH10" t="s">
        <v>58</v>
      </c>
      <c r="AI10" t="s">
        <v>58</v>
      </c>
      <c r="AJ10" t="s">
        <v>58</v>
      </c>
      <c r="AK10" t="s">
        <v>58</v>
      </c>
      <c r="AL10" t="s">
        <v>58</v>
      </c>
      <c r="AM10" t="s">
        <v>58</v>
      </c>
      <c r="AN10" t="s">
        <v>58</v>
      </c>
      <c r="AO10" t="s">
        <v>58</v>
      </c>
      <c r="AP10">
        <v>379</v>
      </c>
      <c r="AQ10" t="s">
        <v>58</v>
      </c>
      <c r="AR10">
        <v>3</v>
      </c>
      <c r="AS10" t="s">
        <v>58</v>
      </c>
      <c r="AT10">
        <v>1</v>
      </c>
      <c r="AU10" t="s">
        <v>58</v>
      </c>
      <c r="AV10" t="s">
        <v>58</v>
      </c>
      <c r="AW10" t="s">
        <v>58</v>
      </c>
      <c r="AX10">
        <v>1</v>
      </c>
      <c r="AY10">
        <v>39.92</v>
      </c>
      <c r="AZ10">
        <v>12.07</v>
      </c>
      <c r="BA10">
        <v>7.59</v>
      </c>
      <c r="BB10">
        <v>1.17</v>
      </c>
      <c r="BC10" t="s">
        <v>58</v>
      </c>
      <c r="BD10">
        <v>0.66</v>
      </c>
    </row>
    <row r="11" spans="1:56" x14ac:dyDescent="0.25">
      <c r="A11" t="s">
        <v>55</v>
      </c>
      <c r="B11" t="s">
        <v>56</v>
      </c>
      <c r="C11" t="s">
        <v>73</v>
      </c>
      <c r="D11" t="s">
        <v>74</v>
      </c>
      <c r="E11" t="s">
        <v>73</v>
      </c>
      <c r="G11" t="s">
        <v>57</v>
      </c>
      <c r="H11" t="s">
        <v>58</v>
      </c>
      <c r="I11">
        <v>4</v>
      </c>
      <c r="J11" t="s">
        <v>58</v>
      </c>
      <c r="K11" t="s">
        <v>58</v>
      </c>
      <c r="L11">
        <v>200</v>
      </c>
      <c r="M11" t="s">
        <v>58</v>
      </c>
      <c r="N11" t="s">
        <v>58</v>
      </c>
      <c r="O11" t="s">
        <v>58</v>
      </c>
      <c r="P11" t="s">
        <v>58</v>
      </c>
      <c r="Q11" t="s">
        <v>58</v>
      </c>
      <c r="R11">
        <v>63875</v>
      </c>
      <c r="S11">
        <v>52</v>
      </c>
      <c r="T11" t="s">
        <v>58</v>
      </c>
      <c r="U11" t="s">
        <v>58</v>
      </c>
      <c r="V11">
        <v>1702</v>
      </c>
      <c r="W11">
        <v>49891</v>
      </c>
      <c r="X11" t="s">
        <v>58</v>
      </c>
      <c r="Y11" t="s">
        <v>58</v>
      </c>
      <c r="Z11" t="s">
        <v>58</v>
      </c>
      <c r="AA11" t="s">
        <v>58</v>
      </c>
      <c r="AB11" t="s">
        <v>58</v>
      </c>
      <c r="AC11">
        <v>10213</v>
      </c>
      <c r="AD11" t="s">
        <v>58</v>
      </c>
      <c r="AE11" t="s">
        <v>58</v>
      </c>
      <c r="AF11">
        <v>7</v>
      </c>
      <c r="AG11" t="s">
        <v>58</v>
      </c>
      <c r="AH11">
        <v>9</v>
      </c>
      <c r="AI11">
        <v>49694</v>
      </c>
      <c r="AJ11" t="s">
        <v>58</v>
      </c>
      <c r="AK11">
        <v>6679</v>
      </c>
      <c r="AL11">
        <v>9549</v>
      </c>
      <c r="AM11">
        <v>224</v>
      </c>
      <c r="AN11">
        <v>11373</v>
      </c>
      <c r="AO11">
        <v>5</v>
      </c>
      <c r="AP11">
        <v>7189</v>
      </c>
      <c r="AQ11">
        <v>5760</v>
      </c>
      <c r="AR11" t="s">
        <v>58</v>
      </c>
      <c r="AS11">
        <v>18.829999999999998</v>
      </c>
      <c r="AT11" t="s">
        <v>58</v>
      </c>
      <c r="AU11">
        <v>2.33</v>
      </c>
      <c r="AV11">
        <v>0</v>
      </c>
      <c r="AW11">
        <v>1</v>
      </c>
      <c r="AX11" t="s">
        <v>58</v>
      </c>
      <c r="AY11">
        <v>310.7</v>
      </c>
      <c r="AZ11">
        <v>195.14</v>
      </c>
      <c r="BA11">
        <v>33.47</v>
      </c>
      <c r="BB11">
        <v>14.8</v>
      </c>
      <c r="BC11">
        <v>1.33</v>
      </c>
      <c r="BD11">
        <v>20.65</v>
      </c>
    </row>
    <row r="12" spans="1:56" x14ac:dyDescent="0.25">
      <c r="A12" t="s">
        <v>55</v>
      </c>
      <c r="B12" t="s">
        <v>56</v>
      </c>
      <c r="C12" t="s">
        <v>73</v>
      </c>
      <c r="D12" t="s">
        <v>74</v>
      </c>
      <c r="E12" t="s">
        <v>73</v>
      </c>
      <c r="F12" s="273">
        <v>110786324</v>
      </c>
      <c r="G12" t="s">
        <v>59</v>
      </c>
      <c r="H12" t="s">
        <v>58</v>
      </c>
      <c r="I12">
        <v>1</v>
      </c>
      <c r="J12" t="s">
        <v>58</v>
      </c>
      <c r="K12" t="s">
        <v>58</v>
      </c>
      <c r="L12">
        <v>10</v>
      </c>
      <c r="M12" t="s">
        <v>58</v>
      </c>
      <c r="N12" t="s">
        <v>58</v>
      </c>
      <c r="O12" t="s">
        <v>58</v>
      </c>
      <c r="P12" t="s">
        <v>58</v>
      </c>
      <c r="Q12" t="s">
        <v>58</v>
      </c>
      <c r="R12">
        <v>3650</v>
      </c>
      <c r="S12">
        <v>20</v>
      </c>
      <c r="T12" t="s">
        <v>58</v>
      </c>
      <c r="U12" t="s">
        <v>58</v>
      </c>
      <c r="V12">
        <v>133</v>
      </c>
      <c r="W12">
        <v>2688</v>
      </c>
      <c r="X12" t="s">
        <v>58</v>
      </c>
      <c r="Y12" t="s">
        <v>58</v>
      </c>
      <c r="Z12" t="s">
        <v>58</v>
      </c>
      <c r="AA12" t="s">
        <v>58</v>
      </c>
      <c r="AB12" t="s">
        <v>58</v>
      </c>
      <c r="AC12">
        <v>2811</v>
      </c>
      <c r="AD12" t="s">
        <v>58</v>
      </c>
      <c r="AE12" t="s">
        <v>58</v>
      </c>
      <c r="AF12">
        <v>3</v>
      </c>
      <c r="AG12" t="s">
        <v>58</v>
      </c>
      <c r="AH12">
        <v>3</v>
      </c>
      <c r="AI12">
        <v>20622</v>
      </c>
      <c r="AJ12" t="s">
        <v>58</v>
      </c>
      <c r="AK12">
        <v>185</v>
      </c>
      <c r="AL12">
        <v>831</v>
      </c>
      <c r="AM12">
        <v>104</v>
      </c>
      <c r="AN12">
        <v>29</v>
      </c>
      <c r="AO12">
        <v>191</v>
      </c>
      <c r="AP12">
        <v>1381</v>
      </c>
      <c r="AQ12">
        <v>1175</v>
      </c>
      <c r="AR12" t="s">
        <v>58</v>
      </c>
      <c r="AS12">
        <v>3.06</v>
      </c>
      <c r="AT12" t="s">
        <v>58</v>
      </c>
      <c r="AU12">
        <v>0.14000000000000001</v>
      </c>
      <c r="AV12">
        <v>0</v>
      </c>
      <c r="AW12">
        <v>1</v>
      </c>
      <c r="AX12" t="s">
        <v>58</v>
      </c>
      <c r="AY12">
        <v>68.02</v>
      </c>
      <c r="AZ12">
        <v>36.450000000000003</v>
      </c>
      <c r="BA12">
        <v>4.37</v>
      </c>
      <c r="BB12">
        <v>8.7200000000000006</v>
      </c>
      <c r="BC12">
        <v>3.59</v>
      </c>
      <c r="BD12">
        <v>8.2799999999999994</v>
      </c>
    </row>
    <row r="13" spans="1:56" x14ac:dyDescent="0.25">
      <c r="A13" t="s">
        <v>55</v>
      </c>
      <c r="B13" t="s">
        <v>56</v>
      </c>
      <c r="C13" t="s">
        <v>73</v>
      </c>
      <c r="D13" t="s">
        <v>74</v>
      </c>
      <c r="E13" t="s">
        <v>73</v>
      </c>
      <c r="F13" s="273">
        <v>110786324</v>
      </c>
      <c r="G13" t="s">
        <v>60</v>
      </c>
      <c r="H13" t="s">
        <v>58</v>
      </c>
      <c r="I13" t="s">
        <v>58</v>
      </c>
      <c r="J13" t="s">
        <v>58</v>
      </c>
      <c r="K13" t="s">
        <v>58</v>
      </c>
      <c r="L13" t="s">
        <v>58</v>
      </c>
      <c r="M13" t="s">
        <v>58</v>
      </c>
      <c r="N13" t="s">
        <v>58</v>
      </c>
      <c r="O13" t="s">
        <v>58</v>
      </c>
      <c r="P13" t="s">
        <v>58</v>
      </c>
      <c r="Q13" t="s">
        <v>58</v>
      </c>
      <c r="R13" t="s">
        <v>58</v>
      </c>
      <c r="S13" t="s">
        <v>58</v>
      </c>
      <c r="T13" t="s">
        <v>58</v>
      </c>
      <c r="U13" t="s">
        <v>58</v>
      </c>
      <c r="V13" t="s">
        <v>58</v>
      </c>
      <c r="W13" t="s">
        <v>58</v>
      </c>
      <c r="X13" t="s">
        <v>58</v>
      </c>
      <c r="Y13" t="s">
        <v>58</v>
      </c>
      <c r="Z13" t="s">
        <v>58</v>
      </c>
      <c r="AA13" t="s">
        <v>58</v>
      </c>
      <c r="AB13" t="s">
        <v>58</v>
      </c>
      <c r="AC13" t="s">
        <v>58</v>
      </c>
      <c r="AD13" t="s">
        <v>58</v>
      </c>
      <c r="AE13" t="s">
        <v>58</v>
      </c>
      <c r="AF13" t="s">
        <v>58</v>
      </c>
      <c r="AG13" t="s">
        <v>58</v>
      </c>
      <c r="AH13" t="s">
        <v>58</v>
      </c>
      <c r="AI13" t="s">
        <v>58</v>
      </c>
      <c r="AJ13" t="s">
        <v>58</v>
      </c>
      <c r="AK13" t="s">
        <v>58</v>
      </c>
      <c r="AL13">
        <v>9</v>
      </c>
      <c r="AM13" t="s">
        <v>58</v>
      </c>
      <c r="AN13" t="s">
        <v>58</v>
      </c>
      <c r="AO13" t="s">
        <v>58</v>
      </c>
      <c r="AP13">
        <v>9</v>
      </c>
      <c r="AQ13">
        <v>7</v>
      </c>
      <c r="AR13" t="s">
        <v>58</v>
      </c>
      <c r="AS13">
        <v>0.13</v>
      </c>
      <c r="AT13" t="s">
        <v>58</v>
      </c>
      <c r="AU13" t="s">
        <v>58</v>
      </c>
      <c r="AV13" t="s">
        <v>58</v>
      </c>
      <c r="AW13" t="s">
        <v>58</v>
      </c>
      <c r="AX13" t="s">
        <v>58</v>
      </c>
      <c r="AY13" t="s">
        <v>58</v>
      </c>
      <c r="AZ13" t="s">
        <v>58</v>
      </c>
      <c r="BA13" t="s">
        <v>58</v>
      </c>
      <c r="BB13" t="s">
        <v>58</v>
      </c>
      <c r="BC13" t="s">
        <v>58</v>
      </c>
      <c r="BD13" t="s">
        <v>58</v>
      </c>
    </row>
    <row r="14" spans="1:56" hidden="1" x14ac:dyDescent="0.25">
      <c r="A14" t="s">
        <v>55</v>
      </c>
      <c r="B14" t="s">
        <v>56</v>
      </c>
      <c r="C14" t="s">
        <v>73</v>
      </c>
      <c r="D14" t="s">
        <v>74</v>
      </c>
      <c r="E14" t="s">
        <v>73</v>
      </c>
      <c r="G14" t="s">
        <v>61</v>
      </c>
      <c r="H14">
        <v>1</v>
      </c>
      <c r="I14" t="s">
        <v>58</v>
      </c>
      <c r="J14">
        <v>1</v>
      </c>
      <c r="K14">
        <v>1</v>
      </c>
      <c r="L14">
        <v>210</v>
      </c>
      <c r="M14" t="s">
        <v>58</v>
      </c>
      <c r="N14" t="s">
        <v>58</v>
      </c>
      <c r="O14" t="s">
        <v>58</v>
      </c>
      <c r="P14" t="s">
        <v>58</v>
      </c>
      <c r="Q14" t="s">
        <v>58</v>
      </c>
      <c r="R14">
        <v>67525</v>
      </c>
      <c r="S14">
        <v>72</v>
      </c>
      <c r="T14" t="s">
        <v>58</v>
      </c>
      <c r="U14" t="s">
        <v>58</v>
      </c>
      <c r="V14">
        <v>1835</v>
      </c>
      <c r="W14">
        <v>52579</v>
      </c>
      <c r="X14" t="s">
        <v>58</v>
      </c>
      <c r="Y14" t="s">
        <v>58</v>
      </c>
      <c r="Z14" t="s">
        <v>58</v>
      </c>
      <c r="AA14" t="s">
        <v>58</v>
      </c>
      <c r="AB14" t="s">
        <v>58</v>
      </c>
      <c r="AC14">
        <v>13024</v>
      </c>
      <c r="AD14" t="s">
        <v>58</v>
      </c>
      <c r="AE14" t="s">
        <v>58</v>
      </c>
      <c r="AF14">
        <v>10</v>
      </c>
      <c r="AG14" t="s">
        <v>58</v>
      </c>
      <c r="AH14">
        <v>12</v>
      </c>
      <c r="AI14">
        <v>70316</v>
      </c>
      <c r="AJ14" t="s">
        <v>58</v>
      </c>
      <c r="AK14">
        <v>6864</v>
      </c>
      <c r="AL14">
        <v>10389</v>
      </c>
      <c r="AM14">
        <v>328</v>
      </c>
      <c r="AN14">
        <v>11402</v>
      </c>
      <c r="AO14">
        <v>196</v>
      </c>
      <c r="AP14">
        <v>8413</v>
      </c>
      <c r="AQ14">
        <v>6855</v>
      </c>
      <c r="AR14" t="s">
        <v>58</v>
      </c>
      <c r="AS14">
        <v>22.02</v>
      </c>
      <c r="AT14" t="s">
        <v>58</v>
      </c>
      <c r="AU14">
        <v>2.4700000000000002</v>
      </c>
      <c r="AV14" t="s">
        <v>58</v>
      </c>
      <c r="AW14" t="s">
        <v>58</v>
      </c>
      <c r="AX14" t="s">
        <v>58</v>
      </c>
      <c r="AY14">
        <v>378.72</v>
      </c>
      <c r="AZ14">
        <v>231.59</v>
      </c>
      <c r="BA14">
        <v>37.840000000000003</v>
      </c>
      <c r="BB14">
        <v>23.52</v>
      </c>
      <c r="BC14">
        <v>4.92</v>
      </c>
      <c r="BD14">
        <v>28.93</v>
      </c>
    </row>
    <row r="15" spans="1:56" x14ac:dyDescent="0.25">
      <c r="A15" t="s">
        <v>55</v>
      </c>
      <c r="B15" t="s">
        <v>56</v>
      </c>
      <c r="C15" t="s">
        <v>78</v>
      </c>
      <c r="D15" t="s">
        <v>79</v>
      </c>
      <c r="E15" t="s">
        <v>80</v>
      </c>
      <c r="G15" t="s">
        <v>57</v>
      </c>
      <c r="H15" t="s">
        <v>58</v>
      </c>
      <c r="I15">
        <v>1</v>
      </c>
      <c r="J15" t="s">
        <v>58</v>
      </c>
      <c r="K15" t="s">
        <v>58</v>
      </c>
      <c r="L15">
        <v>22</v>
      </c>
      <c r="M15" t="s">
        <v>58</v>
      </c>
      <c r="N15" t="s">
        <v>58</v>
      </c>
      <c r="O15" t="s">
        <v>58</v>
      </c>
      <c r="P15" t="s">
        <v>58</v>
      </c>
      <c r="Q15" t="s">
        <v>58</v>
      </c>
      <c r="R15">
        <v>8030</v>
      </c>
      <c r="S15">
        <v>21</v>
      </c>
      <c r="T15">
        <v>2</v>
      </c>
      <c r="U15">
        <v>1</v>
      </c>
      <c r="V15">
        <v>485</v>
      </c>
      <c r="W15">
        <v>7316</v>
      </c>
      <c r="X15" t="s">
        <v>58</v>
      </c>
      <c r="Y15" t="s">
        <v>58</v>
      </c>
      <c r="Z15" t="s">
        <v>58</v>
      </c>
      <c r="AA15" t="s">
        <v>58</v>
      </c>
      <c r="AB15" t="s">
        <v>58</v>
      </c>
      <c r="AC15">
        <v>4465</v>
      </c>
      <c r="AD15">
        <v>0</v>
      </c>
      <c r="AE15">
        <v>301</v>
      </c>
      <c r="AF15">
        <v>2</v>
      </c>
      <c r="AG15">
        <v>3</v>
      </c>
      <c r="AH15">
        <v>1</v>
      </c>
      <c r="AI15">
        <v>13111</v>
      </c>
      <c r="AJ15">
        <v>1692</v>
      </c>
      <c r="AK15">
        <v>1217</v>
      </c>
      <c r="AL15">
        <v>3391</v>
      </c>
      <c r="AM15">
        <v>143</v>
      </c>
      <c r="AN15">
        <v>512</v>
      </c>
      <c r="AO15">
        <v>6</v>
      </c>
      <c r="AP15">
        <v>1415</v>
      </c>
      <c r="AQ15">
        <v>1060</v>
      </c>
      <c r="AR15" t="s">
        <v>58</v>
      </c>
      <c r="AS15">
        <v>1.27</v>
      </c>
      <c r="AT15" t="s">
        <v>58</v>
      </c>
      <c r="AU15" t="s">
        <v>58</v>
      </c>
      <c r="AV15" t="s">
        <v>58</v>
      </c>
      <c r="AW15" t="s">
        <v>58</v>
      </c>
      <c r="AX15" t="s">
        <v>58</v>
      </c>
      <c r="AY15">
        <v>72.16</v>
      </c>
      <c r="AZ15">
        <v>39.130000000000003</v>
      </c>
      <c r="BA15">
        <v>0</v>
      </c>
      <c r="BB15">
        <v>4</v>
      </c>
      <c r="BC15">
        <v>2</v>
      </c>
      <c r="BD15">
        <v>10.130000000000001</v>
      </c>
    </row>
    <row r="16" spans="1:56" x14ac:dyDescent="0.25">
      <c r="A16" t="s">
        <v>55</v>
      </c>
      <c r="B16" t="s">
        <v>56</v>
      </c>
      <c r="C16" t="s">
        <v>78</v>
      </c>
      <c r="D16" t="s">
        <v>79</v>
      </c>
      <c r="E16" t="s">
        <v>80</v>
      </c>
      <c r="F16" s="273">
        <v>120004528</v>
      </c>
      <c r="G16" t="s">
        <v>59</v>
      </c>
      <c r="H16" t="s">
        <v>58</v>
      </c>
      <c r="I16">
        <v>1</v>
      </c>
      <c r="J16" t="s">
        <v>58</v>
      </c>
      <c r="K16" t="s">
        <v>58</v>
      </c>
      <c r="L16" t="s">
        <v>58</v>
      </c>
      <c r="M16" t="s">
        <v>58</v>
      </c>
      <c r="N16" t="s">
        <v>58</v>
      </c>
      <c r="O16" t="s">
        <v>58</v>
      </c>
      <c r="P16" t="s">
        <v>58</v>
      </c>
      <c r="Q16" t="s">
        <v>58</v>
      </c>
      <c r="R16" t="s">
        <v>58</v>
      </c>
      <c r="S16">
        <v>6</v>
      </c>
      <c r="T16" t="s">
        <v>58</v>
      </c>
      <c r="U16" t="s">
        <v>58</v>
      </c>
      <c r="V16" t="s">
        <v>58</v>
      </c>
      <c r="W16" t="s">
        <v>58</v>
      </c>
      <c r="X16" t="s">
        <v>58</v>
      </c>
      <c r="Y16" t="s">
        <v>58</v>
      </c>
      <c r="Z16" t="s">
        <v>58</v>
      </c>
      <c r="AA16" t="s">
        <v>58</v>
      </c>
      <c r="AB16" t="s">
        <v>58</v>
      </c>
      <c r="AC16">
        <v>898</v>
      </c>
      <c r="AD16" t="s">
        <v>58</v>
      </c>
      <c r="AE16" t="s">
        <v>58</v>
      </c>
      <c r="AF16">
        <v>1</v>
      </c>
      <c r="AG16">
        <v>2</v>
      </c>
      <c r="AH16">
        <v>1</v>
      </c>
      <c r="AI16">
        <v>2334</v>
      </c>
      <c r="AJ16">
        <v>1467</v>
      </c>
      <c r="AK16">
        <v>93</v>
      </c>
      <c r="AL16">
        <v>216</v>
      </c>
      <c r="AM16">
        <v>35</v>
      </c>
      <c r="AN16">
        <v>5</v>
      </c>
      <c r="AO16">
        <v>93</v>
      </c>
      <c r="AP16">
        <v>538</v>
      </c>
      <c r="AQ16">
        <v>481</v>
      </c>
      <c r="AR16" t="s">
        <v>58</v>
      </c>
      <c r="AS16">
        <v>1.5</v>
      </c>
      <c r="AT16" t="s">
        <v>58</v>
      </c>
      <c r="AU16" t="s">
        <v>58</v>
      </c>
      <c r="AV16" t="s">
        <v>58</v>
      </c>
      <c r="AW16" t="s">
        <v>58</v>
      </c>
      <c r="AX16" t="s">
        <v>58</v>
      </c>
      <c r="AY16">
        <v>25.85</v>
      </c>
      <c r="AZ16">
        <v>6</v>
      </c>
      <c r="BA16">
        <v>0</v>
      </c>
      <c r="BB16">
        <v>4.05</v>
      </c>
      <c r="BC16">
        <v>2.77</v>
      </c>
      <c r="BD16">
        <v>8.9499999999999993</v>
      </c>
    </row>
    <row r="17" spans="1:56" hidden="1" x14ac:dyDescent="0.25">
      <c r="A17" t="s">
        <v>55</v>
      </c>
      <c r="B17" t="s">
        <v>56</v>
      </c>
      <c r="C17" t="s">
        <v>75</v>
      </c>
      <c r="D17" s="74" t="s">
        <v>76</v>
      </c>
      <c r="E17" t="s">
        <v>77</v>
      </c>
      <c r="G17" t="s">
        <v>61</v>
      </c>
      <c r="H17">
        <v>1</v>
      </c>
      <c r="I17" t="s">
        <v>58</v>
      </c>
      <c r="J17">
        <v>2</v>
      </c>
      <c r="K17">
        <v>0</v>
      </c>
      <c r="L17">
        <v>5</v>
      </c>
      <c r="M17" t="s">
        <v>58</v>
      </c>
      <c r="N17" t="s">
        <v>58</v>
      </c>
      <c r="O17" t="s">
        <v>58</v>
      </c>
      <c r="P17" t="s">
        <v>58</v>
      </c>
      <c r="Q17" t="s">
        <v>58</v>
      </c>
      <c r="R17">
        <v>1825</v>
      </c>
      <c r="S17">
        <v>28</v>
      </c>
      <c r="T17" t="s">
        <v>58</v>
      </c>
      <c r="U17" t="s">
        <v>58</v>
      </c>
      <c r="V17">
        <v>286</v>
      </c>
      <c r="W17">
        <v>1620</v>
      </c>
      <c r="X17" t="s">
        <v>58</v>
      </c>
      <c r="Y17" t="s">
        <v>58</v>
      </c>
      <c r="Z17" t="s">
        <v>58</v>
      </c>
      <c r="AA17" t="s">
        <v>58</v>
      </c>
      <c r="AB17" t="s">
        <v>58</v>
      </c>
      <c r="AC17">
        <v>3814</v>
      </c>
      <c r="AD17" t="s">
        <v>58</v>
      </c>
      <c r="AE17" t="s">
        <v>58</v>
      </c>
      <c r="AF17">
        <v>6</v>
      </c>
      <c r="AG17" t="s">
        <v>58</v>
      </c>
      <c r="AH17">
        <v>3</v>
      </c>
      <c r="AI17" t="s">
        <v>58</v>
      </c>
      <c r="AJ17" t="s">
        <v>58</v>
      </c>
      <c r="AK17" t="s">
        <v>58</v>
      </c>
      <c r="AL17" t="s">
        <v>58</v>
      </c>
      <c r="AM17" t="s">
        <v>58</v>
      </c>
      <c r="AN17" t="s">
        <v>58</v>
      </c>
      <c r="AO17" t="s">
        <v>58</v>
      </c>
      <c r="AP17" t="s">
        <v>58</v>
      </c>
      <c r="AQ17" t="s">
        <v>58</v>
      </c>
      <c r="AR17" t="s">
        <v>58</v>
      </c>
      <c r="AS17">
        <v>3.63</v>
      </c>
      <c r="AT17" t="s">
        <v>58</v>
      </c>
      <c r="AU17">
        <v>0.6</v>
      </c>
      <c r="AV17" t="s">
        <v>58</v>
      </c>
      <c r="AW17" t="s">
        <v>58</v>
      </c>
      <c r="AX17" t="s">
        <v>58</v>
      </c>
      <c r="AY17">
        <v>50.43</v>
      </c>
      <c r="AZ17">
        <v>14.16</v>
      </c>
      <c r="BA17">
        <v>7</v>
      </c>
      <c r="BB17">
        <v>3.63</v>
      </c>
      <c r="BC17">
        <v>3.35</v>
      </c>
      <c r="BD17">
        <v>18.489999999999998</v>
      </c>
    </row>
    <row r="18" spans="1:56" x14ac:dyDescent="0.25">
      <c r="A18" t="s">
        <v>55</v>
      </c>
      <c r="B18" t="s">
        <v>56</v>
      </c>
      <c r="C18" t="s">
        <v>75</v>
      </c>
      <c r="D18" t="s">
        <v>76</v>
      </c>
      <c r="E18" t="s">
        <v>77</v>
      </c>
      <c r="F18" s="273">
        <v>120780044</v>
      </c>
      <c r="G18" t="s">
        <v>59</v>
      </c>
      <c r="H18" t="s">
        <v>58</v>
      </c>
      <c r="I18">
        <v>1</v>
      </c>
      <c r="J18" t="s">
        <v>58</v>
      </c>
      <c r="K18" t="s">
        <v>58</v>
      </c>
      <c r="L18">
        <v>5</v>
      </c>
      <c r="M18" t="s">
        <v>58</v>
      </c>
      <c r="N18" t="s">
        <v>58</v>
      </c>
      <c r="O18" t="s">
        <v>58</v>
      </c>
      <c r="P18" t="s">
        <v>58</v>
      </c>
      <c r="Q18" t="s">
        <v>58</v>
      </c>
      <c r="R18">
        <v>1825</v>
      </c>
      <c r="S18">
        <v>28</v>
      </c>
      <c r="T18" t="s">
        <v>58</v>
      </c>
      <c r="U18" t="s">
        <v>58</v>
      </c>
      <c r="V18">
        <v>286</v>
      </c>
      <c r="W18">
        <v>1620</v>
      </c>
      <c r="X18" t="s">
        <v>58</v>
      </c>
      <c r="Y18" t="s">
        <v>58</v>
      </c>
      <c r="Z18" t="s">
        <v>58</v>
      </c>
      <c r="AA18" t="s">
        <v>58</v>
      </c>
      <c r="AB18" t="s">
        <v>58</v>
      </c>
      <c r="AC18">
        <v>3814</v>
      </c>
      <c r="AD18" t="s">
        <v>58</v>
      </c>
      <c r="AE18" t="s">
        <v>58</v>
      </c>
      <c r="AF18">
        <v>6</v>
      </c>
      <c r="AG18" t="s">
        <v>58</v>
      </c>
      <c r="AH18">
        <v>3</v>
      </c>
      <c r="AI18" t="s">
        <v>58</v>
      </c>
      <c r="AJ18" t="s">
        <v>58</v>
      </c>
      <c r="AK18" t="s">
        <v>58</v>
      </c>
      <c r="AL18" t="s">
        <v>58</v>
      </c>
      <c r="AM18" t="s">
        <v>58</v>
      </c>
      <c r="AN18" t="s">
        <v>58</v>
      </c>
      <c r="AO18" t="s">
        <v>58</v>
      </c>
      <c r="AP18" t="s">
        <v>58</v>
      </c>
      <c r="AQ18" t="s">
        <v>58</v>
      </c>
      <c r="AR18" t="s">
        <v>58</v>
      </c>
      <c r="AS18">
        <v>3.63</v>
      </c>
      <c r="AT18" t="s">
        <v>58</v>
      </c>
      <c r="AU18">
        <v>0.6</v>
      </c>
      <c r="AV18">
        <v>0</v>
      </c>
      <c r="AW18">
        <v>1</v>
      </c>
      <c r="AX18" t="s">
        <v>58</v>
      </c>
      <c r="AY18">
        <v>50.43</v>
      </c>
      <c r="AZ18">
        <v>14.16</v>
      </c>
      <c r="BA18">
        <v>7</v>
      </c>
      <c r="BB18">
        <v>3.63</v>
      </c>
      <c r="BC18">
        <v>3.35</v>
      </c>
      <c r="BD18">
        <v>18.489999999999998</v>
      </c>
    </row>
    <row r="19" spans="1:56" hidden="1" x14ac:dyDescent="0.25">
      <c r="A19" t="s">
        <v>55</v>
      </c>
      <c r="B19" t="s">
        <v>56</v>
      </c>
      <c r="C19" t="s">
        <v>78</v>
      </c>
      <c r="D19" t="s">
        <v>79</v>
      </c>
      <c r="E19" t="s">
        <v>80</v>
      </c>
      <c r="G19" t="s">
        <v>61</v>
      </c>
      <c r="H19">
        <v>1</v>
      </c>
      <c r="I19" t="s">
        <v>58</v>
      </c>
      <c r="J19">
        <v>0</v>
      </c>
      <c r="K19">
        <v>0</v>
      </c>
      <c r="L19">
        <v>22</v>
      </c>
      <c r="M19" t="s">
        <v>58</v>
      </c>
      <c r="N19" t="s">
        <v>58</v>
      </c>
      <c r="O19" t="s">
        <v>58</v>
      </c>
      <c r="P19" t="s">
        <v>58</v>
      </c>
      <c r="Q19" t="s">
        <v>58</v>
      </c>
      <c r="R19">
        <v>8030</v>
      </c>
      <c r="S19">
        <v>27</v>
      </c>
      <c r="T19">
        <v>2</v>
      </c>
      <c r="U19">
        <v>1</v>
      </c>
      <c r="V19">
        <v>485</v>
      </c>
      <c r="W19">
        <v>7316</v>
      </c>
      <c r="X19" t="s">
        <v>58</v>
      </c>
      <c r="Y19" t="s">
        <v>58</v>
      </c>
      <c r="Z19" t="s">
        <v>58</v>
      </c>
      <c r="AA19" t="s">
        <v>58</v>
      </c>
      <c r="AB19" t="s">
        <v>58</v>
      </c>
      <c r="AC19">
        <v>5363</v>
      </c>
      <c r="AD19">
        <v>0</v>
      </c>
      <c r="AE19">
        <v>301</v>
      </c>
      <c r="AF19">
        <v>3</v>
      </c>
      <c r="AG19">
        <v>5</v>
      </c>
      <c r="AH19">
        <v>2</v>
      </c>
      <c r="AI19">
        <v>15445</v>
      </c>
      <c r="AJ19">
        <v>3159</v>
      </c>
      <c r="AK19">
        <v>1310</v>
      </c>
      <c r="AL19">
        <v>3607</v>
      </c>
      <c r="AM19">
        <v>178</v>
      </c>
      <c r="AN19">
        <v>517</v>
      </c>
      <c r="AO19">
        <v>99</v>
      </c>
      <c r="AP19">
        <v>1929</v>
      </c>
      <c r="AQ19">
        <v>1526</v>
      </c>
      <c r="AR19" t="s">
        <v>58</v>
      </c>
      <c r="AS19">
        <v>2.77</v>
      </c>
      <c r="AT19" t="s">
        <v>58</v>
      </c>
      <c r="AU19" t="s">
        <v>58</v>
      </c>
      <c r="AV19" t="s">
        <v>58</v>
      </c>
      <c r="AW19" t="s">
        <v>58</v>
      </c>
      <c r="AX19" t="s">
        <v>58</v>
      </c>
      <c r="AY19">
        <v>98.01</v>
      </c>
      <c r="AZ19">
        <v>45.13</v>
      </c>
      <c r="BA19">
        <v>0</v>
      </c>
      <c r="BB19">
        <v>8.0500000000000007</v>
      </c>
      <c r="BC19">
        <v>4.7699999999999996</v>
      </c>
      <c r="BD19">
        <v>19.079999999999998</v>
      </c>
    </row>
    <row r="20" spans="1:56" x14ac:dyDescent="0.25">
      <c r="A20" t="s">
        <v>55</v>
      </c>
      <c r="B20" t="s">
        <v>56</v>
      </c>
      <c r="C20" t="s">
        <v>81</v>
      </c>
      <c r="D20" t="s">
        <v>82</v>
      </c>
      <c r="E20" t="s">
        <v>63</v>
      </c>
      <c r="G20" t="s">
        <v>57</v>
      </c>
      <c r="H20" t="s">
        <v>58</v>
      </c>
      <c r="I20">
        <v>4</v>
      </c>
      <c r="J20" t="s">
        <v>58</v>
      </c>
      <c r="K20" t="s">
        <v>58</v>
      </c>
      <c r="L20">
        <v>199</v>
      </c>
      <c r="M20">
        <v>40</v>
      </c>
      <c r="N20">
        <v>5</v>
      </c>
      <c r="O20" t="s">
        <v>58</v>
      </c>
      <c r="P20">
        <v>4</v>
      </c>
      <c r="Q20" t="s">
        <v>58</v>
      </c>
      <c r="R20">
        <v>72635</v>
      </c>
      <c r="S20">
        <v>115</v>
      </c>
      <c r="T20">
        <v>1</v>
      </c>
      <c r="U20" t="s">
        <v>58</v>
      </c>
      <c r="V20">
        <v>2414</v>
      </c>
      <c r="W20">
        <v>63133</v>
      </c>
      <c r="X20">
        <v>10650</v>
      </c>
      <c r="Y20">
        <v>889</v>
      </c>
      <c r="Z20" t="s">
        <v>58</v>
      </c>
      <c r="AA20">
        <v>1028</v>
      </c>
      <c r="AB20" t="s">
        <v>58</v>
      </c>
      <c r="AC20">
        <v>15056</v>
      </c>
      <c r="AD20">
        <v>0</v>
      </c>
      <c r="AE20" t="s">
        <v>58</v>
      </c>
      <c r="AF20">
        <v>8</v>
      </c>
      <c r="AG20">
        <v>8</v>
      </c>
      <c r="AH20">
        <v>9</v>
      </c>
      <c r="AI20">
        <v>45267</v>
      </c>
      <c r="AJ20">
        <v>3353</v>
      </c>
      <c r="AK20">
        <v>24504</v>
      </c>
      <c r="AL20">
        <v>14392</v>
      </c>
      <c r="AM20">
        <v>7337</v>
      </c>
      <c r="AN20">
        <v>684</v>
      </c>
      <c r="AO20">
        <v>26</v>
      </c>
      <c r="AP20">
        <v>9445</v>
      </c>
      <c r="AQ20">
        <v>7502</v>
      </c>
      <c r="AR20" t="s">
        <v>58</v>
      </c>
      <c r="AS20">
        <v>20.05</v>
      </c>
      <c r="AT20">
        <v>1</v>
      </c>
      <c r="AU20">
        <v>5.12</v>
      </c>
      <c r="AV20">
        <v>1</v>
      </c>
      <c r="AW20">
        <v>1</v>
      </c>
      <c r="AX20" t="s">
        <v>58</v>
      </c>
      <c r="AY20">
        <v>497.22</v>
      </c>
      <c r="AZ20">
        <v>284.55</v>
      </c>
      <c r="BA20">
        <v>86.57</v>
      </c>
      <c r="BB20">
        <v>15.11</v>
      </c>
      <c r="BC20">
        <v>6.36</v>
      </c>
      <c r="BD20">
        <v>14.04</v>
      </c>
    </row>
    <row r="21" spans="1:56" x14ac:dyDescent="0.25">
      <c r="A21" t="s">
        <v>55</v>
      </c>
      <c r="B21" t="s">
        <v>56</v>
      </c>
      <c r="C21" t="s">
        <v>81</v>
      </c>
      <c r="D21" t="s">
        <v>82</v>
      </c>
      <c r="E21" t="s">
        <v>63</v>
      </c>
      <c r="F21" s="273">
        <v>120780283</v>
      </c>
      <c r="G21" t="s">
        <v>60</v>
      </c>
      <c r="H21" t="s">
        <v>58</v>
      </c>
      <c r="I21" t="s">
        <v>58</v>
      </c>
      <c r="J21" t="s">
        <v>58</v>
      </c>
      <c r="K21" t="s">
        <v>58</v>
      </c>
      <c r="L21" t="s">
        <v>58</v>
      </c>
      <c r="M21" t="s">
        <v>58</v>
      </c>
      <c r="N21" t="s">
        <v>58</v>
      </c>
      <c r="O21" t="s">
        <v>58</v>
      </c>
      <c r="P21" t="s">
        <v>58</v>
      </c>
      <c r="Q21" t="s">
        <v>58</v>
      </c>
      <c r="R21" t="s">
        <v>58</v>
      </c>
      <c r="S21" t="s">
        <v>58</v>
      </c>
      <c r="T21" t="s">
        <v>58</v>
      </c>
      <c r="U21" t="s">
        <v>58</v>
      </c>
      <c r="V21" t="s">
        <v>58</v>
      </c>
      <c r="W21" t="s">
        <v>58</v>
      </c>
      <c r="X21" t="s">
        <v>58</v>
      </c>
      <c r="Y21" t="s">
        <v>58</v>
      </c>
      <c r="Z21" t="s">
        <v>58</v>
      </c>
      <c r="AA21" t="s">
        <v>58</v>
      </c>
      <c r="AB21" t="s">
        <v>58</v>
      </c>
      <c r="AC21" t="s">
        <v>58</v>
      </c>
      <c r="AD21" t="s">
        <v>58</v>
      </c>
      <c r="AE21" t="s">
        <v>58</v>
      </c>
      <c r="AF21" t="s">
        <v>58</v>
      </c>
      <c r="AG21" t="s">
        <v>58</v>
      </c>
      <c r="AH21" t="s">
        <v>58</v>
      </c>
      <c r="AI21" t="s">
        <v>58</v>
      </c>
      <c r="AJ21" t="s">
        <v>58</v>
      </c>
      <c r="AK21" t="s">
        <v>58</v>
      </c>
      <c r="AL21">
        <v>1260</v>
      </c>
      <c r="AM21" t="s">
        <v>58</v>
      </c>
      <c r="AN21" t="s">
        <v>58</v>
      </c>
      <c r="AO21" t="s">
        <v>58</v>
      </c>
      <c r="AP21">
        <v>328</v>
      </c>
      <c r="AQ21">
        <v>328</v>
      </c>
      <c r="AR21" t="s">
        <v>58</v>
      </c>
      <c r="AS21">
        <v>0.2</v>
      </c>
      <c r="AT21" t="s">
        <v>58</v>
      </c>
      <c r="AU21" t="s">
        <v>58</v>
      </c>
      <c r="AV21" t="s">
        <v>58</v>
      </c>
      <c r="AW21" t="s">
        <v>58</v>
      </c>
      <c r="AX21" t="s">
        <v>58</v>
      </c>
      <c r="AY21">
        <v>0.72</v>
      </c>
      <c r="AZ21">
        <v>0.42</v>
      </c>
      <c r="BA21" t="s">
        <v>58</v>
      </c>
      <c r="BB21">
        <v>0.3</v>
      </c>
      <c r="BC21" t="s">
        <v>58</v>
      </c>
      <c r="BD21" t="s">
        <v>58</v>
      </c>
    </row>
    <row r="22" spans="1:56" hidden="1" x14ac:dyDescent="0.25">
      <c r="A22" t="s">
        <v>55</v>
      </c>
      <c r="B22" t="s">
        <v>56</v>
      </c>
      <c r="C22" t="s">
        <v>81</v>
      </c>
      <c r="D22" t="s">
        <v>82</v>
      </c>
      <c r="E22" t="s">
        <v>63</v>
      </c>
      <c r="G22" t="s">
        <v>61</v>
      </c>
      <c r="H22">
        <v>1</v>
      </c>
      <c r="I22" t="s">
        <v>58</v>
      </c>
      <c r="J22">
        <v>3</v>
      </c>
      <c r="K22">
        <v>1</v>
      </c>
      <c r="L22">
        <v>199</v>
      </c>
      <c r="M22">
        <v>40</v>
      </c>
      <c r="N22">
        <v>5</v>
      </c>
      <c r="O22" t="s">
        <v>58</v>
      </c>
      <c r="P22">
        <v>4</v>
      </c>
      <c r="Q22" t="s">
        <v>58</v>
      </c>
      <c r="R22">
        <v>72635</v>
      </c>
      <c r="S22">
        <v>115</v>
      </c>
      <c r="T22">
        <v>1</v>
      </c>
      <c r="U22" t="s">
        <v>58</v>
      </c>
      <c r="V22">
        <v>2414</v>
      </c>
      <c r="W22">
        <v>63133</v>
      </c>
      <c r="X22">
        <v>10650</v>
      </c>
      <c r="Y22">
        <v>889</v>
      </c>
      <c r="Z22" t="s">
        <v>58</v>
      </c>
      <c r="AA22">
        <v>1028</v>
      </c>
      <c r="AB22" t="s">
        <v>58</v>
      </c>
      <c r="AC22">
        <v>15056</v>
      </c>
      <c r="AD22">
        <v>0</v>
      </c>
      <c r="AE22" t="s">
        <v>58</v>
      </c>
      <c r="AF22">
        <v>8</v>
      </c>
      <c r="AG22">
        <v>8</v>
      </c>
      <c r="AH22">
        <v>9</v>
      </c>
      <c r="AI22">
        <v>45267</v>
      </c>
      <c r="AJ22">
        <v>3353</v>
      </c>
      <c r="AK22">
        <v>24504</v>
      </c>
      <c r="AL22">
        <v>15652</v>
      </c>
      <c r="AM22">
        <v>7337</v>
      </c>
      <c r="AN22">
        <v>684</v>
      </c>
      <c r="AO22">
        <v>26</v>
      </c>
      <c r="AP22">
        <v>9714</v>
      </c>
      <c r="AQ22">
        <v>7771</v>
      </c>
      <c r="AR22" t="s">
        <v>58</v>
      </c>
      <c r="AS22">
        <v>20.25</v>
      </c>
      <c r="AT22">
        <v>1</v>
      </c>
      <c r="AU22">
        <v>5.12</v>
      </c>
      <c r="AV22" t="s">
        <v>58</v>
      </c>
      <c r="AW22" t="s">
        <v>58</v>
      </c>
      <c r="AX22" t="s">
        <v>58</v>
      </c>
      <c r="AY22">
        <v>497.94</v>
      </c>
      <c r="AZ22">
        <v>284.97000000000003</v>
      </c>
      <c r="BA22">
        <v>86.57</v>
      </c>
      <c r="BB22">
        <v>15.41</v>
      </c>
      <c r="BC22">
        <v>6.36</v>
      </c>
      <c r="BD22">
        <v>14.04</v>
      </c>
    </row>
    <row r="23" spans="1:56" x14ac:dyDescent="0.25">
      <c r="A23" t="s">
        <v>55</v>
      </c>
      <c r="B23" t="s">
        <v>56</v>
      </c>
      <c r="C23" t="s">
        <v>85</v>
      </c>
      <c r="D23" t="s">
        <v>86</v>
      </c>
      <c r="E23" t="s">
        <v>87</v>
      </c>
      <c r="G23" t="s">
        <v>57</v>
      </c>
      <c r="H23" t="s">
        <v>58</v>
      </c>
      <c r="I23">
        <v>3</v>
      </c>
      <c r="J23" t="s">
        <v>58</v>
      </c>
      <c r="K23" t="s">
        <v>58</v>
      </c>
      <c r="L23">
        <v>168</v>
      </c>
      <c r="M23">
        <v>21</v>
      </c>
      <c r="N23" t="s">
        <v>58</v>
      </c>
      <c r="O23" t="s">
        <v>58</v>
      </c>
      <c r="P23" t="s">
        <v>58</v>
      </c>
      <c r="Q23" t="s">
        <v>58</v>
      </c>
      <c r="R23">
        <v>58220</v>
      </c>
      <c r="S23">
        <v>88</v>
      </c>
      <c r="T23" t="s">
        <v>58</v>
      </c>
      <c r="U23" t="s">
        <v>58</v>
      </c>
      <c r="V23">
        <v>1968</v>
      </c>
      <c r="W23">
        <v>45584</v>
      </c>
      <c r="X23">
        <v>4301</v>
      </c>
      <c r="Y23" t="s">
        <v>58</v>
      </c>
      <c r="Z23" t="s">
        <v>58</v>
      </c>
      <c r="AA23" t="s">
        <v>58</v>
      </c>
      <c r="AB23" t="s">
        <v>58</v>
      </c>
      <c r="AC23">
        <v>9935</v>
      </c>
      <c r="AD23" t="s">
        <v>58</v>
      </c>
      <c r="AE23" t="s">
        <v>58</v>
      </c>
      <c r="AF23">
        <v>8</v>
      </c>
      <c r="AG23">
        <v>1</v>
      </c>
      <c r="AH23">
        <v>2</v>
      </c>
      <c r="AI23">
        <v>50363</v>
      </c>
      <c r="AJ23">
        <v>3146</v>
      </c>
      <c r="AK23">
        <v>14408</v>
      </c>
      <c r="AL23">
        <v>2698</v>
      </c>
      <c r="AM23">
        <v>1257</v>
      </c>
      <c r="AN23">
        <v>928</v>
      </c>
      <c r="AO23">
        <v>198</v>
      </c>
      <c r="AP23">
        <v>7212</v>
      </c>
      <c r="AQ23">
        <v>6130</v>
      </c>
      <c r="AR23" t="s">
        <v>58</v>
      </c>
      <c r="AS23">
        <v>23.61</v>
      </c>
      <c r="AT23" t="s">
        <v>58</v>
      </c>
      <c r="AU23">
        <v>2.2000000000000002</v>
      </c>
      <c r="AV23">
        <v>0</v>
      </c>
      <c r="AW23">
        <v>1</v>
      </c>
      <c r="AX23" t="s">
        <v>58</v>
      </c>
      <c r="AY23">
        <v>340.5</v>
      </c>
      <c r="AZ23">
        <v>222.56</v>
      </c>
      <c r="BA23">
        <v>34.54</v>
      </c>
      <c r="BB23">
        <v>7.79</v>
      </c>
      <c r="BC23" t="s">
        <v>58</v>
      </c>
      <c r="BD23">
        <v>10.119999999999999</v>
      </c>
    </row>
    <row r="24" spans="1:56" x14ac:dyDescent="0.25">
      <c r="A24" t="s">
        <v>55</v>
      </c>
      <c r="B24" t="s">
        <v>56</v>
      </c>
      <c r="C24" t="s">
        <v>85</v>
      </c>
      <c r="D24" t="s">
        <v>86</v>
      </c>
      <c r="E24" t="s">
        <v>87</v>
      </c>
      <c r="F24" s="273">
        <v>300780103</v>
      </c>
      <c r="G24" t="s">
        <v>59</v>
      </c>
      <c r="H24" t="s">
        <v>58</v>
      </c>
      <c r="I24">
        <v>1</v>
      </c>
      <c r="J24" t="s">
        <v>58</v>
      </c>
      <c r="K24" t="s">
        <v>58</v>
      </c>
      <c r="L24">
        <v>5</v>
      </c>
      <c r="M24" t="s">
        <v>58</v>
      </c>
      <c r="N24" t="s">
        <v>58</v>
      </c>
      <c r="O24" t="s">
        <v>58</v>
      </c>
      <c r="P24" t="s">
        <v>58</v>
      </c>
      <c r="Q24" t="s">
        <v>58</v>
      </c>
      <c r="R24">
        <v>1300</v>
      </c>
      <c r="S24">
        <v>34</v>
      </c>
      <c r="T24" t="s">
        <v>58</v>
      </c>
      <c r="U24" t="s">
        <v>58</v>
      </c>
      <c r="V24">
        <v>237</v>
      </c>
      <c r="W24">
        <v>766</v>
      </c>
      <c r="X24" t="s">
        <v>58</v>
      </c>
      <c r="Y24" t="s">
        <v>58</v>
      </c>
      <c r="Z24" t="s">
        <v>58</v>
      </c>
      <c r="AA24" t="s">
        <v>58</v>
      </c>
      <c r="AB24" t="s">
        <v>58</v>
      </c>
      <c r="AC24">
        <v>2190</v>
      </c>
      <c r="AD24" t="s">
        <v>58</v>
      </c>
      <c r="AE24" t="s">
        <v>58</v>
      </c>
      <c r="AF24">
        <v>3</v>
      </c>
      <c r="AG24" t="s">
        <v>58</v>
      </c>
      <c r="AH24" t="s">
        <v>58</v>
      </c>
      <c r="AI24">
        <v>14591</v>
      </c>
      <c r="AJ24">
        <v>0</v>
      </c>
      <c r="AK24" t="s">
        <v>58</v>
      </c>
      <c r="AL24">
        <v>226</v>
      </c>
      <c r="AM24" t="s">
        <v>58</v>
      </c>
      <c r="AN24">
        <v>36</v>
      </c>
      <c r="AO24" t="s">
        <v>58</v>
      </c>
      <c r="AP24">
        <v>1321</v>
      </c>
      <c r="AQ24">
        <v>672</v>
      </c>
      <c r="AR24" t="s">
        <v>58</v>
      </c>
      <c r="AS24">
        <v>4.21</v>
      </c>
      <c r="AT24" t="s">
        <v>58</v>
      </c>
      <c r="AU24" t="s">
        <v>58</v>
      </c>
      <c r="AV24">
        <v>0</v>
      </c>
      <c r="AW24">
        <v>0</v>
      </c>
      <c r="AX24" t="s">
        <v>58</v>
      </c>
      <c r="AY24">
        <v>64.38</v>
      </c>
      <c r="AZ24">
        <v>23.46</v>
      </c>
      <c r="BA24">
        <v>4.95</v>
      </c>
      <c r="BB24">
        <v>6.37</v>
      </c>
      <c r="BC24">
        <v>3.6</v>
      </c>
      <c r="BD24">
        <v>19.649999999999999</v>
      </c>
    </row>
    <row r="25" spans="1:56" x14ac:dyDescent="0.25">
      <c r="A25" t="s">
        <v>55</v>
      </c>
      <c r="B25" t="s">
        <v>56</v>
      </c>
      <c r="C25" t="s">
        <v>85</v>
      </c>
      <c r="D25" t="s">
        <v>86</v>
      </c>
      <c r="E25" t="s">
        <v>87</v>
      </c>
      <c r="F25" s="280">
        <v>300780103</v>
      </c>
      <c r="G25" t="s">
        <v>60</v>
      </c>
      <c r="H25" t="s">
        <v>58</v>
      </c>
      <c r="I25" t="s">
        <v>58</v>
      </c>
      <c r="J25" t="s">
        <v>58</v>
      </c>
      <c r="K25" t="s">
        <v>58</v>
      </c>
      <c r="L25" t="s">
        <v>58</v>
      </c>
      <c r="M25" t="s">
        <v>58</v>
      </c>
      <c r="N25" t="s">
        <v>58</v>
      </c>
      <c r="O25" t="s">
        <v>58</v>
      </c>
      <c r="P25" t="s">
        <v>58</v>
      </c>
      <c r="Q25" t="s">
        <v>58</v>
      </c>
      <c r="R25" t="s">
        <v>58</v>
      </c>
      <c r="S25" t="s">
        <v>58</v>
      </c>
      <c r="T25" t="s">
        <v>58</v>
      </c>
      <c r="U25" t="s">
        <v>58</v>
      </c>
      <c r="V25" t="s">
        <v>58</v>
      </c>
      <c r="W25" t="s">
        <v>58</v>
      </c>
      <c r="X25" t="s">
        <v>58</v>
      </c>
      <c r="Y25" t="s">
        <v>58</v>
      </c>
      <c r="Z25" t="s">
        <v>58</v>
      </c>
      <c r="AA25" t="s">
        <v>58</v>
      </c>
      <c r="AB25" t="s">
        <v>58</v>
      </c>
      <c r="AC25" t="s">
        <v>58</v>
      </c>
      <c r="AD25" t="s">
        <v>58</v>
      </c>
      <c r="AE25" t="s">
        <v>58</v>
      </c>
      <c r="AF25" t="s">
        <v>58</v>
      </c>
      <c r="AG25" t="s">
        <v>58</v>
      </c>
      <c r="AH25" t="s">
        <v>58</v>
      </c>
      <c r="AI25" t="s">
        <v>58</v>
      </c>
      <c r="AJ25" t="s">
        <v>58</v>
      </c>
      <c r="AK25" t="s">
        <v>58</v>
      </c>
      <c r="AL25">
        <v>1206</v>
      </c>
      <c r="AM25" t="s">
        <v>58</v>
      </c>
      <c r="AN25" t="s">
        <v>58</v>
      </c>
      <c r="AO25" t="s">
        <v>58</v>
      </c>
      <c r="AP25" t="s">
        <v>58</v>
      </c>
      <c r="AQ25">
        <v>254</v>
      </c>
      <c r="AR25" t="s">
        <v>58</v>
      </c>
      <c r="AS25" t="s">
        <v>58</v>
      </c>
      <c r="AT25" t="s">
        <v>58</v>
      </c>
      <c r="AU25" t="s">
        <v>58</v>
      </c>
      <c r="AV25" t="s">
        <v>58</v>
      </c>
      <c r="AW25" t="s">
        <v>58</v>
      </c>
      <c r="AX25" t="s">
        <v>58</v>
      </c>
      <c r="AY25" t="s">
        <v>58</v>
      </c>
      <c r="AZ25" t="s">
        <v>58</v>
      </c>
      <c r="BA25" t="s">
        <v>58</v>
      </c>
      <c r="BB25" t="s">
        <v>58</v>
      </c>
      <c r="BC25" t="s">
        <v>58</v>
      </c>
      <c r="BD25" t="s">
        <v>58</v>
      </c>
    </row>
    <row r="26" spans="1:56" hidden="1" x14ac:dyDescent="0.25">
      <c r="A26" t="s">
        <v>55</v>
      </c>
      <c r="B26" t="s">
        <v>56</v>
      </c>
      <c r="C26" t="s">
        <v>85</v>
      </c>
      <c r="D26" t="s">
        <v>86</v>
      </c>
      <c r="E26" t="s">
        <v>87</v>
      </c>
      <c r="G26" t="s">
        <v>61</v>
      </c>
      <c r="H26">
        <v>1</v>
      </c>
      <c r="I26" t="s">
        <v>58</v>
      </c>
      <c r="J26">
        <v>0</v>
      </c>
      <c r="K26">
        <v>1</v>
      </c>
      <c r="L26">
        <v>173</v>
      </c>
      <c r="M26">
        <v>21</v>
      </c>
      <c r="N26" t="s">
        <v>58</v>
      </c>
      <c r="O26" t="s">
        <v>58</v>
      </c>
      <c r="P26" t="s">
        <v>58</v>
      </c>
      <c r="Q26" t="s">
        <v>58</v>
      </c>
      <c r="R26">
        <v>59520</v>
      </c>
      <c r="S26">
        <v>122</v>
      </c>
      <c r="T26" t="s">
        <v>58</v>
      </c>
      <c r="U26" t="s">
        <v>58</v>
      </c>
      <c r="V26">
        <v>2205</v>
      </c>
      <c r="W26">
        <v>46350</v>
      </c>
      <c r="X26">
        <v>4301</v>
      </c>
      <c r="Y26" t="s">
        <v>58</v>
      </c>
      <c r="Z26" t="s">
        <v>58</v>
      </c>
      <c r="AA26" t="s">
        <v>58</v>
      </c>
      <c r="AB26" t="s">
        <v>58</v>
      </c>
      <c r="AC26">
        <v>12125</v>
      </c>
      <c r="AD26" t="s">
        <v>58</v>
      </c>
      <c r="AE26" t="s">
        <v>58</v>
      </c>
      <c r="AF26">
        <v>11</v>
      </c>
      <c r="AG26">
        <v>1</v>
      </c>
      <c r="AH26">
        <v>2</v>
      </c>
      <c r="AI26">
        <v>64954</v>
      </c>
      <c r="AJ26">
        <v>3146</v>
      </c>
      <c r="AK26">
        <v>14408</v>
      </c>
      <c r="AL26">
        <v>4130</v>
      </c>
      <c r="AM26">
        <v>1257</v>
      </c>
      <c r="AN26">
        <v>964</v>
      </c>
      <c r="AO26">
        <v>198</v>
      </c>
      <c r="AP26">
        <v>8696</v>
      </c>
      <c r="AQ26">
        <v>7056</v>
      </c>
      <c r="AR26" t="s">
        <v>58</v>
      </c>
      <c r="AS26">
        <v>27.82</v>
      </c>
      <c r="AT26" t="s">
        <v>58</v>
      </c>
      <c r="AU26">
        <v>2.2000000000000002</v>
      </c>
      <c r="AV26" t="s">
        <v>58</v>
      </c>
      <c r="AW26" t="s">
        <v>58</v>
      </c>
      <c r="AX26" t="s">
        <v>58</v>
      </c>
      <c r="AY26">
        <v>404.88</v>
      </c>
      <c r="AZ26">
        <v>246.02</v>
      </c>
      <c r="BA26">
        <v>39.49</v>
      </c>
      <c r="BB26">
        <v>14.16</v>
      </c>
      <c r="BC26">
        <v>3.6</v>
      </c>
      <c r="BD26">
        <v>29.77</v>
      </c>
    </row>
    <row r="27" spans="1:56" x14ac:dyDescent="0.25">
      <c r="A27" t="s">
        <v>55</v>
      </c>
      <c r="B27" t="s">
        <v>56</v>
      </c>
      <c r="C27" t="s">
        <v>88</v>
      </c>
      <c r="D27" t="s">
        <v>89</v>
      </c>
      <c r="E27" t="s">
        <v>88</v>
      </c>
      <c r="G27" t="s">
        <v>57</v>
      </c>
      <c r="H27" t="s">
        <v>58</v>
      </c>
      <c r="I27" t="s">
        <v>58</v>
      </c>
      <c r="J27" t="s">
        <v>58</v>
      </c>
      <c r="K27" t="s">
        <v>58</v>
      </c>
      <c r="L27">
        <v>21</v>
      </c>
      <c r="M27" t="s">
        <v>58</v>
      </c>
      <c r="N27" t="s">
        <v>58</v>
      </c>
      <c r="O27" t="s">
        <v>58</v>
      </c>
      <c r="P27" t="s">
        <v>58</v>
      </c>
      <c r="Q27" t="s">
        <v>58</v>
      </c>
      <c r="R27">
        <v>7665</v>
      </c>
      <c r="S27">
        <v>10</v>
      </c>
      <c r="T27" t="s">
        <v>58</v>
      </c>
      <c r="U27" t="s">
        <v>58</v>
      </c>
      <c r="V27">
        <v>112</v>
      </c>
      <c r="W27">
        <v>5103</v>
      </c>
      <c r="X27" t="s">
        <v>58</v>
      </c>
      <c r="Y27" t="s">
        <v>58</v>
      </c>
      <c r="Z27" t="s">
        <v>58</v>
      </c>
      <c r="AA27" t="s">
        <v>58</v>
      </c>
      <c r="AB27" t="s">
        <v>58</v>
      </c>
      <c r="AC27">
        <v>5035</v>
      </c>
      <c r="AD27" t="s">
        <v>58</v>
      </c>
      <c r="AE27" t="s">
        <v>58</v>
      </c>
      <c r="AF27" t="s">
        <v>58</v>
      </c>
      <c r="AG27" t="s">
        <v>58</v>
      </c>
      <c r="AH27" t="s">
        <v>58</v>
      </c>
      <c r="AI27" t="s">
        <v>58</v>
      </c>
      <c r="AJ27" t="s">
        <v>58</v>
      </c>
      <c r="AK27" t="s">
        <v>58</v>
      </c>
      <c r="AL27" t="s">
        <v>58</v>
      </c>
      <c r="AM27" t="s">
        <v>58</v>
      </c>
      <c r="AN27" t="s">
        <v>58</v>
      </c>
      <c r="AO27" t="s">
        <v>58</v>
      </c>
      <c r="AP27">
        <v>92</v>
      </c>
      <c r="AQ27" t="s">
        <v>58</v>
      </c>
      <c r="AR27" t="s">
        <v>58</v>
      </c>
      <c r="AS27">
        <v>1.25</v>
      </c>
      <c r="AT27" t="s">
        <v>58</v>
      </c>
      <c r="AU27" t="s">
        <v>58</v>
      </c>
      <c r="AV27">
        <v>0</v>
      </c>
      <c r="AW27">
        <v>0</v>
      </c>
      <c r="AX27" t="s">
        <v>58</v>
      </c>
      <c r="AY27">
        <v>23.4</v>
      </c>
      <c r="AZ27">
        <v>11</v>
      </c>
      <c r="BA27">
        <v>2</v>
      </c>
      <c r="BB27">
        <v>0.5</v>
      </c>
      <c r="BC27" t="s">
        <v>58</v>
      </c>
      <c r="BD27">
        <v>9.9</v>
      </c>
    </row>
    <row r="28" spans="1:56" x14ac:dyDescent="0.25">
      <c r="A28" t="s">
        <v>55</v>
      </c>
      <c r="B28" t="s">
        <v>56</v>
      </c>
      <c r="C28" t="s">
        <v>88</v>
      </c>
      <c r="D28" t="s">
        <v>89</v>
      </c>
      <c r="E28" t="s">
        <v>88</v>
      </c>
      <c r="F28" s="273">
        <v>300780764</v>
      </c>
      <c r="G28" t="s">
        <v>59</v>
      </c>
      <c r="H28" t="s">
        <v>58</v>
      </c>
      <c r="I28" t="s">
        <v>58</v>
      </c>
      <c r="J28" t="s">
        <v>58</v>
      </c>
      <c r="K28" t="s">
        <v>58</v>
      </c>
      <c r="L28" t="s">
        <v>58</v>
      </c>
      <c r="M28" t="s">
        <v>58</v>
      </c>
      <c r="N28" t="s">
        <v>58</v>
      </c>
      <c r="O28" t="s">
        <v>58</v>
      </c>
      <c r="P28" t="s">
        <v>58</v>
      </c>
      <c r="Q28" t="s">
        <v>58</v>
      </c>
      <c r="R28" t="s">
        <v>58</v>
      </c>
      <c r="S28" t="s">
        <v>58</v>
      </c>
      <c r="T28" t="s">
        <v>58</v>
      </c>
      <c r="U28" t="s">
        <v>58</v>
      </c>
      <c r="V28" t="s">
        <v>58</v>
      </c>
      <c r="W28" t="s">
        <v>58</v>
      </c>
      <c r="X28" t="s">
        <v>58</v>
      </c>
      <c r="Y28" t="s">
        <v>58</v>
      </c>
      <c r="Z28" t="s">
        <v>58</v>
      </c>
      <c r="AA28" t="s">
        <v>58</v>
      </c>
      <c r="AB28" t="s">
        <v>58</v>
      </c>
      <c r="AC28" t="s">
        <v>58</v>
      </c>
      <c r="AD28" t="s">
        <v>58</v>
      </c>
      <c r="AE28" t="s">
        <v>58</v>
      </c>
      <c r="AF28">
        <v>1</v>
      </c>
      <c r="AG28" t="s">
        <v>58</v>
      </c>
      <c r="AH28" t="s">
        <v>58</v>
      </c>
      <c r="AI28">
        <v>455</v>
      </c>
      <c r="AJ28" t="s">
        <v>58</v>
      </c>
      <c r="AK28" t="s">
        <v>58</v>
      </c>
      <c r="AL28" t="s">
        <v>58</v>
      </c>
      <c r="AM28" t="s">
        <v>58</v>
      </c>
      <c r="AN28" t="s">
        <v>58</v>
      </c>
      <c r="AO28" t="s">
        <v>58</v>
      </c>
      <c r="AP28">
        <v>248</v>
      </c>
      <c r="AQ28">
        <v>248</v>
      </c>
      <c r="AR28" t="s">
        <v>58</v>
      </c>
      <c r="AS28">
        <v>0.5</v>
      </c>
      <c r="AT28" t="s">
        <v>58</v>
      </c>
      <c r="AU28" t="s">
        <v>58</v>
      </c>
      <c r="AV28">
        <v>0</v>
      </c>
      <c r="AW28">
        <v>0</v>
      </c>
      <c r="AX28" t="s">
        <v>58</v>
      </c>
      <c r="AY28">
        <v>5.17</v>
      </c>
      <c r="AZ28" t="s">
        <v>58</v>
      </c>
      <c r="BA28" t="s">
        <v>58</v>
      </c>
      <c r="BB28">
        <v>4.67</v>
      </c>
      <c r="BC28" t="s">
        <v>58</v>
      </c>
      <c r="BD28">
        <v>0.5</v>
      </c>
    </row>
    <row r="29" spans="1:56" hidden="1" x14ac:dyDescent="0.25">
      <c r="A29" t="s">
        <v>55</v>
      </c>
      <c r="B29" t="s">
        <v>56</v>
      </c>
      <c r="C29" t="s">
        <v>88</v>
      </c>
      <c r="D29" t="s">
        <v>89</v>
      </c>
      <c r="E29" t="s">
        <v>88</v>
      </c>
      <c r="G29" t="s">
        <v>61</v>
      </c>
      <c r="H29">
        <v>0</v>
      </c>
      <c r="I29" t="s">
        <v>58</v>
      </c>
      <c r="J29" t="s">
        <v>58</v>
      </c>
      <c r="K29">
        <v>0</v>
      </c>
      <c r="L29">
        <v>21</v>
      </c>
      <c r="M29" t="s">
        <v>58</v>
      </c>
      <c r="N29" t="s">
        <v>58</v>
      </c>
      <c r="O29" t="s">
        <v>58</v>
      </c>
      <c r="P29" t="s">
        <v>58</v>
      </c>
      <c r="Q29" t="s">
        <v>58</v>
      </c>
      <c r="R29">
        <v>7665</v>
      </c>
      <c r="S29">
        <v>10</v>
      </c>
      <c r="T29" t="s">
        <v>58</v>
      </c>
      <c r="U29" t="s">
        <v>58</v>
      </c>
      <c r="V29">
        <v>112</v>
      </c>
      <c r="W29">
        <v>5103</v>
      </c>
      <c r="X29" t="s">
        <v>58</v>
      </c>
      <c r="Y29" t="s">
        <v>58</v>
      </c>
      <c r="Z29" t="s">
        <v>58</v>
      </c>
      <c r="AA29" t="s">
        <v>58</v>
      </c>
      <c r="AB29" t="s">
        <v>58</v>
      </c>
      <c r="AC29">
        <v>5035</v>
      </c>
      <c r="AD29" t="s">
        <v>58</v>
      </c>
      <c r="AE29" t="s">
        <v>58</v>
      </c>
      <c r="AF29">
        <v>1</v>
      </c>
      <c r="AG29" t="s">
        <v>58</v>
      </c>
      <c r="AH29" t="s">
        <v>58</v>
      </c>
      <c r="AI29">
        <v>455</v>
      </c>
      <c r="AJ29" t="s">
        <v>58</v>
      </c>
      <c r="AK29" t="s">
        <v>58</v>
      </c>
      <c r="AL29" t="s">
        <v>58</v>
      </c>
      <c r="AM29" t="s">
        <v>58</v>
      </c>
      <c r="AN29" t="s">
        <v>58</v>
      </c>
      <c r="AO29" t="s">
        <v>58</v>
      </c>
      <c r="AP29">
        <v>340</v>
      </c>
      <c r="AQ29">
        <v>248</v>
      </c>
      <c r="AR29" t="s">
        <v>58</v>
      </c>
      <c r="AS29">
        <v>1.75</v>
      </c>
      <c r="AT29" t="s">
        <v>58</v>
      </c>
      <c r="AU29" t="s">
        <v>58</v>
      </c>
      <c r="AV29" t="s">
        <v>58</v>
      </c>
      <c r="AW29" t="s">
        <v>58</v>
      </c>
      <c r="AX29" t="s">
        <v>58</v>
      </c>
      <c r="AY29">
        <v>28.57</v>
      </c>
      <c r="AZ29">
        <v>11</v>
      </c>
      <c r="BA29">
        <v>2</v>
      </c>
      <c r="BB29">
        <v>5.17</v>
      </c>
      <c r="BC29" t="s">
        <v>58</v>
      </c>
      <c r="BD29">
        <v>10.4</v>
      </c>
    </row>
    <row r="30" spans="1:56" x14ac:dyDescent="0.25">
      <c r="A30" t="s">
        <v>55</v>
      </c>
      <c r="B30" t="s">
        <v>56</v>
      </c>
      <c r="C30" t="s">
        <v>90</v>
      </c>
      <c r="D30" t="s">
        <v>91</v>
      </c>
      <c r="E30" t="s">
        <v>90</v>
      </c>
      <c r="F30" s="277">
        <v>300002896</v>
      </c>
      <c r="G30" t="s">
        <v>59</v>
      </c>
      <c r="H30" t="s">
        <v>58</v>
      </c>
      <c r="I30">
        <v>2</v>
      </c>
      <c r="J30" t="s">
        <v>58</v>
      </c>
      <c r="K30" t="s">
        <v>58</v>
      </c>
      <c r="L30">
        <v>0</v>
      </c>
      <c r="M30">
        <v>0</v>
      </c>
      <c r="N30" t="s">
        <v>58</v>
      </c>
      <c r="O30" t="s">
        <v>58</v>
      </c>
      <c r="P30">
        <v>0</v>
      </c>
      <c r="Q30">
        <v>0</v>
      </c>
      <c r="R30">
        <v>0</v>
      </c>
      <c r="S30">
        <v>8</v>
      </c>
      <c r="T30">
        <v>0</v>
      </c>
      <c r="U30">
        <v>1</v>
      </c>
      <c r="V30">
        <v>0</v>
      </c>
      <c r="W30">
        <v>0</v>
      </c>
      <c r="X30">
        <v>0</v>
      </c>
      <c r="Y30" t="s">
        <v>58</v>
      </c>
      <c r="Z30" t="s">
        <v>58</v>
      </c>
      <c r="AA30">
        <v>0</v>
      </c>
      <c r="AB30">
        <v>0</v>
      </c>
      <c r="AC30">
        <v>684</v>
      </c>
      <c r="AD30">
        <v>0</v>
      </c>
      <c r="AE30">
        <v>0</v>
      </c>
      <c r="AF30">
        <v>1</v>
      </c>
      <c r="AG30">
        <v>0</v>
      </c>
      <c r="AH30">
        <v>0</v>
      </c>
      <c r="AI30">
        <v>5819</v>
      </c>
      <c r="AJ30">
        <v>0</v>
      </c>
      <c r="AK30">
        <v>0</v>
      </c>
      <c r="AL30">
        <v>0</v>
      </c>
      <c r="AM30">
        <v>0</v>
      </c>
      <c r="AN30">
        <v>0</v>
      </c>
      <c r="AO30">
        <v>0</v>
      </c>
      <c r="AP30">
        <v>197</v>
      </c>
      <c r="AQ30">
        <v>174</v>
      </c>
      <c r="AR30">
        <v>0</v>
      </c>
      <c r="AS30">
        <v>0.9</v>
      </c>
      <c r="AT30">
        <v>0</v>
      </c>
      <c r="AU30">
        <v>0</v>
      </c>
      <c r="AV30">
        <v>0</v>
      </c>
      <c r="AW30">
        <v>0</v>
      </c>
      <c r="AX30">
        <v>0</v>
      </c>
      <c r="AY30" t="s">
        <v>58</v>
      </c>
      <c r="AZ30">
        <v>2</v>
      </c>
      <c r="BA30">
        <v>0</v>
      </c>
      <c r="BB30">
        <v>2.5</v>
      </c>
      <c r="BC30">
        <v>2.33</v>
      </c>
      <c r="BD30">
        <v>6.05</v>
      </c>
    </row>
    <row r="31" spans="1:56" hidden="1" x14ac:dyDescent="0.25">
      <c r="A31" t="s">
        <v>55</v>
      </c>
      <c r="B31" t="s">
        <v>56</v>
      </c>
      <c r="C31" t="s">
        <v>90</v>
      </c>
      <c r="D31" t="s">
        <v>91</v>
      </c>
      <c r="E31" t="s">
        <v>90</v>
      </c>
      <c r="G31" t="s">
        <v>61</v>
      </c>
      <c r="H31">
        <v>1</v>
      </c>
      <c r="I31" t="s">
        <v>58</v>
      </c>
      <c r="J31">
        <v>0</v>
      </c>
      <c r="K31">
        <v>0</v>
      </c>
      <c r="L31">
        <v>0</v>
      </c>
      <c r="M31">
        <v>0</v>
      </c>
      <c r="N31">
        <v>0</v>
      </c>
      <c r="O31">
        <v>0</v>
      </c>
      <c r="P31">
        <v>0</v>
      </c>
      <c r="Q31">
        <v>0</v>
      </c>
      <c r="R31">
        <v>0</v>
      </c>
      <c r="S31">
        <v>8</v>
      </c>
      <c r="T31">
        <v>0</v>
      </c>
      <c r="U31">
        <v>1</v>
      </c>
      <c r="V31">
        <v>0</v>
      </c>
      <c r="W31">
        <v>0</v>
      </c>
      <c r="X31">
        <v>0</v>
      </c>
      <c r="Y31">
        <v>0</v>
      </c>
      <c r="Z31">
        <v>0</v>
      </c>
      <c r="AA31">
        <v>0</v>
      </c>
      <c r="AB31">
        <v>0</v>
      </c>
      <c r="AC31">
        <v>684</v>
      </c>
      <c r="AD31">
        <v>0</v>
      </c>
      <c r="AE31">
        <v>0</v>
      </c>
      <c r="AF31">
        <v>1</v>
      </c>
      <c r="AG31">
        <v>0</v>
      </c>
      <c r="AH31">
        <v>0</v>
      </c>
      <c r="AI31">
        <v>5819</v>
      </c>
      <c r="AJ31">
        <v>0</v>
      </c>
      <c r="AK31">
        <v>0</v>
      </c>
      <c r="AL31">
        <v>0</v>
      </c>
      <c r="AM31">
        <v>0</v>
      </c>
      <c r="AN31">
        <v>0</v>
      </c>
      <c r="AO31">
        <v>0</v>
      </c>
      <c r="AP31">
        <v>197</v>
      </c>
      <c r="AQ31">
        <v>174</v>
      </c>
      <c r="AR31">
        <v>0</v>
      </c>
      <c r="AS31">
        <v>0.9</v>
      </c>
      <c r="AT31">
        <v>0</v>
      </c>
      <c r="AU31">
        <v>0</v>
      </c>
      <c r="AV31" t="s">
        <v>58</v>
      </c>
      <c r="AW31" t="s">
        <v>58</v>
      </c>
      <c r="AX31">
        <v>0</v>
      </c>
      <c r="AY31">
        <v>0</v>
      </c>
      <c r="AZ31">
        <v>2</v>
      </c>
      <c r="BA31">
        <v>0</v>
      </c>
      <c r="BB31">
        <v>2.5</v>
      </c>
      <c r="BC31">
        <v>2.33</v>
      </c>
      <c r="BD31">
        <v>6.05</v>
      </c>
    </row>
    <row r="32" spans="1:56" x14ac:dyDescent="0.25">
      <c r="A32" t="s">
        <v>55</v>
      </c>
      <c r="B32" t="s">
        <v>56</v>
      </c>
      <c r="C32" t="s">
        <v>92</v>
      </c>
      <c r="D32" t="s">
        <v>93</v>
      </c>
      <c r="E32" t="s">
        <v>94</v>
      </c>
      <c r="G32" t="s">
        <v>57</v>
      </c>
      <c r="H32" t="s">
        <v>58</v>
      </c>
      <c r="I32" t="s">
        <v>58</v>
      </c>
      <c r="J32" t="s">
        <v>58</v>
      </c>
      <c r="K32" t="s">
        <v>58</v>
      </c>
      <c r="L32" t="s">
        <v>58</v>
      </c>
      <c r="M32" t="s">
        <v>58</v>
      </c>
      <c r="N32" t="s">
        <v>58</v>
      </c>
      <c r="O32">
        <v>46</v>
      </c>
      <c r="P32" t="s">
        <v>58</v>
      </c>
      <c r="Q32" t="s">
        <v>58</v>
      </c>
      <c r="R32" t="s">
        <v>58</v>
      </c>
      <c r="S32" t="s">
        <v>58</v>
      </c>
      <c r="T32" t="s">
        <v>58</v>
      </c>
      <c r="U32" t="s">
        <v>58</v>
      </c>
      <c r="V32" t="s">
        <v>58</v>
      </c>
      <c r="W32" t="s">
        <v>58</v>
      </c>
      <c r="X32" t="s">
        <v>58</v>
      </c>
      <c r="Y32" t="s">
        <v>58</v>
      </c>
      <c r="Z32">
        <v>15122</v>
      </c>
      <c r="AA32" t="s">
        <v>58</v>
      </c>
      <c r="AB32" t="s">
        <v>58</v>
      </c>
      <c r="AC32" t="s">
        <v>58</v>
      </c>
      <c r="AD32" t="s">
        <v>58</v>
      </c>
      <c r="AE32" t="s">
        <v>58</v>
      </c>
      <c r="AF32" t="s">
        <v>58</v>
      </c>
      <c r="AG32" t="s">
        <v>58</v>
      </c>
      <c r="AH32" t="s">
        <v>58</v>
      </c>
      <c r="AI32" t="s">
        <v>58</v>
      </c>
      <c r="AJ32" t="s">
        <v>58</v>
      </c>
      <c r="AK32" t="s">
        <v>58</v>
      </c>
      <c r="AL32" t="s">
        <v>58</v>
      </c>
      <c r="AM32" t="s">
        <v>58</v>
      </c>
      <c r="AN32" t="s">
        <v>58</v>
      </c>
      <c r="AO32" t="s">
        <v>58</v>
      </c>
      <c r="AP32">
        <v>100</v>
      </c>
      <c r="AQ32" t="s">
        <v>58</v>
      </c>
      <c r="AR32" t="s">
        <v>58</v>
      </c>
      <c r="AS32">
        <v>1</v>
      </c>
      <c r="AT32" t="s">
        <v>58</v>
      </c>
      <c r="AU32">
        <v>0.25</v>
      </c>
      <c r="AV32" t="s">
        <v>58</v>
      </c>
      <c r="AW32" t="s">
        <v>58</v>
      </c>
      <c r="AX32" t="s">
        <v>58</v>
      </c>
      <c r="AY32">
        <v>22.58</v>
      </c>
      <c r="AZ32">
        <v>6.8</v>
      </c>
      <c r="BA32">
        <v>5.68</v>
      </c>
      <c r="BB32">
        <v>2.1</v>
      </c>
      <c r="BC32">
        <v>1</v>
      </c>
      <c r="BD32">
        <v>7</v>
      </c>
    </row>
    <row r="33" spans="1:56" hidden="1" x14ac:dyDescent="0.25">
      <c r="A33" t="s">
        <v>55</v>
      </c>
      <c r="B33" t="s">
        <v>56</v>
      </c>
      <c r="C33" t="s">
        <v>92</v>
      </c>
      <c r="D33" t="s">
        <v>93</v>
      </c>
      <c r="E33" t="s">
        <v>94</v>
      </c>
      <c r="G33" t="s">
        <v>61</v>
      </c>
      <c r="H33">
        <v>0</v>
      </c>
      <c r="I33" t="s">
        <v>58</v>
      </c>
      <c r="J33" t="s">
        <v>58</v>
      </c>
      <c r="K33">
        <v>0</v>
      </c>
      <c r="L33" t="s">
        <v>58</v>
      </c>
      <c r="M33" t="s">
        <v>58</v>
      </c>
      <c r="N33" t="s">
        <v>58</v>
      </c>
      <c r="O33">
        <v>46</v>
      </c>
      <c r="P33" t="s">
        <v>58</v>
      </c>
      <c r="Q33" t="s">
        <v>58</v>
      </c>
      <c r="R33" t="s">
        <v>58</v>
      </c>
      <c r="S33" t="s">
        <v>58</v>
      </c>
      <c r="T33" t="s">
        <v>58</v>
      </c>
      <c r="U33" t="s">
        <v>58</v>
      </c>
      <c r="V33" t="s">
        <v>58</v>
      </c>
      <c r="W33" t="s">
        <v>58</v>
      </c>
      <c r="X33" t="s">
        <v>58</v>
      </c>
      <c r="Y33" t="s">
        <v>58</v>
      </c>
      <c r="Z33">
        <v>15122</v>
      </c>
      <c r="AA33" t="s">
        <v>58</v>
      </c>
      <c r="AB33" t="s">
        <v>58</v>
      </c>
      <c r="AC33" t="s">
        <v>58</v>
      </c>
      <c r="AD33" t="s">
        <v>58</v>
      </c>
      <c r="AE33" t="s">
        <v>58</v>
      </c>
      <c r="AF33" t="s">
        <v>58</v>
      </c>
      <c r="AG33" t="s">
        <v>58</v>
      </c>
      <c r="AH33" t="s">
        <v>58</v>
      </c>
      <c r="AI33" t="s">
        <v>58</v>
      </c>
      <c r="AJ33" t="s">
        <v>58</v>
      </c>
      <c r="AK33" t="s">
        <v>58</v>
      </c>
      <c r="AL33" t="s">
        <v>58</v>
      </c>
      <c r="AM33" t="s">
        <v>58</v>
      </c>
      <c r="AN33" t="s">
        <v>58</v>
      </c>
      <c r="AO33" t="s">
        <v>58</v>
      </c>
      <c r="AP33">
        <v>100</v>
      </c>
      <c r="AQ33" t="s">
        <v>58</v>
      </c>
      <c r="AR33" t="s">
        <v>58</v>
      </c>
      <c r="AS33">
        <v>1</v>
      </c>
      <c r="AT33" t="s">
        <v>58</v>
      </c>
      <c r="AU33">
        <v>0.25</v>
      </c>
      <c r="AV33" t="s">
        <v>58</v>
      </c>
      <c r="AW33" t="s">
        <v>58</v>
      </c>
      <c r="AX33" t="s">
        <v>58</v>
      </c>
      <c r="AY33">
        <v>22.58</v>
      </c>
      <c r="AZ33">
        <v>6.8</v>
      </c>
      <c r="BA33">
        <v>5.68</v>
      </c>
      <c r="BB33">
        <v>2.1</v>
      </c>
      <c r="BC33">
        <v>1</v>
      </c>
      <c r="BD33">
        <v>7</v>
      </c>
    </row>
    <row r="34" spans="1:56" hidden="1" x14ac:dyDescent="0.25">
      <c r="A34" s="86" t="s">
        <v>55</v>
      </c>
      <c r="B34" s="87">
        <v>2023</v>
      </c>
      <c r="C34" s="95">
        <v>300780046</v>
      </c>
      <c r="D34" s="86" t="s">
        <v>259</v>
      </c>
      <c r="E34" s="86">
        <v>300780046</v>
      </c>
      <c r="F34" s="86">
        <v>300780046</v>
      </c>
      <c r="G34" s="74" t="s">
        <v>61</v>
      </c>
      <c r="L34">
        <v>66</v>
      </c>
      <c r="R34">
        <v>24090</v>
      </c>
      <c r="S34">
        <v>16</v>
      </c>
      <c r="T34">
        <v>3</v>
      </c>
      <c r="V34">
        <v>899</v>
      </c>
      <c r="W34">
        <v>20270</v>
      </c>
      <c r="AC34">
        <v>5974</v>
      </c>
      <c r="AD34">
        <v>168</v>
      </c>
      <c r="AF34">
        <v>8</v>
      </c>
      <c r="AG34">
        <v>1</v>
      </c>
      <c r="AH34">
        <v>1</v>
      </c>
      <c r="AI34">
        <v>23820</v>
      </c>
      <c r="AJ34">
        <v>513</v>
      </c>
      <c r="AK34">
        <v>2977</v>
      </c>
      <c r="AL34">
        <v>3220</v>
      </c>
      <c r="AM34">
        <v>295</v>
      </c>
      <c r="AN34">
        <v>4606</v>
      </c>
      <c r="AO34">
        <v>3</v>
      </c>
      <c r="AP34">
        <v>4761</v>
      </c>
      <c r="AQ34">
        <v>4132</v>
      </c>
    </row>
    <row r="35" spans="1:56" x14ac:dyDescent="0.25">
      <c r="A35" t="s">
        <v>55</v>
      </c>
      <c r="B35" t="s">
        <v>56</v>
      </c>
      <c r="C35" t="s">
        <v>95</v>
      </c>
      <c r="D35" t="s">
        <v>96</v>
      </c>
      <c r="E35" t="s">
        <v>97</v>
      </c>
      <c r="G35" t="s">
        <v>57</v>
      </c>
      <c r="H35" t="s">
        <v>58</v>
      </c>
      <c r="I35" t="s">
        <v>58</v>
      </c>
      <c r="J35" t="s">
        <v>58</v>
      </c>
      <c r="K35" t="s">
        <v>58</v>
      </c>
      <c r="L35">
        <v>112</v>
      </c>
      <c r="M35" t="s">
        <v>58</v>
      </c>
      <c r="N35" t="s">
        <v>58</v>
      </c>
      <c r="O35" t="s">
        <v>58</v>
      </c>
      <c r="P35">
        <v>15</v>
      </c>
      <c r="Q35" t="s">
        <v>58</v>
      </c>
      <c r="R35">
        <v>46875</v>
      </c>
      <c r="S35">
        <v>80</v>
      </c>
      <c r="T35" t="s">
        <v>58</v>
      </c>
      <c r="U35" t="s">
        <v>58</v>
      </c>
      <c r="V35">
        <v>1094</v>
      </c>
      <c r="W35">
        <v>42250</v>
      </c>
      <c r="X35" t="s">
        <v>58</v>
      </c>
      <c r="Y35" t="s">
        <v>58</v>
      </c>
      <c r="Z35" t="s">
        <v>58</v>
      </c>
      <c r="AA35">
        <v>5566</v>
      </c>
      <c r="AB35" t="s">
        <v>58</v>
      </c>
      <c r="AC35">
        <v>16724</v>
      </c>
      <c r="AD35" t="s">
        <v>58</v>
      </c>
      <c r="AE35" t="s">
        <v>58</v>
      </c>
      <c r="AF35" t="s">
        <v>58</v>
      </c>
      <c r="AG35" t="s">
        <v>58</v>
      </c>
      <c r="AH35" t="s">
        <v>58</v>
      </c>
      <c r="AI35" t="s">
        <v>58</v>
      </c>
      <c r="AJ35" t="s">
        <v>58</v>
      </c>
      <c r="AK35" t="s">
        <v>58</v>
      </c>
      <c r="AL35" t="s">
        <v>58</v>
      </c>
      <c r="AM35" t="s">
        <v>58</v>
      </c>
      <c r="AN35" t="s">
        <v>58</v>
      </c>
      <c r="AO35" t="s">
        <v>58</v>
      </c>
      <c r="AP35">
        <v>1513</v>
      </c>
      <c r="AQ35" t="s">
        <v>58</v>
      </c>
      <c r="AR35">
        <v>8</v>
      </c>
      <c r="AS35" t="s">
        <v>58</v>
      </c>
      <c r="AT35" t="s">
        <v>58</v>
      </c>
      <c r="AU35">
        <v>5.31</v>
      </c>
      <c r="AV35">
        <v>0</v>
      </c>
      <c r="AW35">
        <v>0</v>
      </c>
      <c r="AX35">
        <v>4</v>
      </c>
      <c r="AY35">
        <v>58.25</v>
      </c>
      <c r="AZ35">
        <v>33.1</v>
      </c>
      <c r="BA35">
        <v>8.89</v>
      </c>
      <c r="BB35">
        <v>3.63</v>
      </c>
      <c r="BC35">
        <v>9.23</v>
      </c>
      <c r="BD35">
        <v>1</v>
      </c>
    </row>
    <row r="36" spans="1:56" hidden="1" x14ac:dyDescent="0.25">
      <c r="A36" t="s">
        <v>55</v>
      </c>
      <c r="B36" t="s">
        <v>56</v>
      </c>
      <c r="C36" t="s">
        <v>95</v>
      </c>
      <c r="D36" t="s">
        <v>96</v>
      </c>
      <c r="E36" t="s">
        <v>97</v>
      </c>
      <c r="G36" t="s">
        <v>61</v>
      </c>
      <c r="H36">
        <v>0</v>
      </c>
      <c r="I36" t="s">
        <v>58</v>
      </c>
      <c r="J36" t="s">
        <v>58</v>
      </c>
      <c r="K36">
        <v>0</v>
      </c>
      <c r="L36">
        <v>112</v>
      </c>
      <c r="M36" t="s">
        <v>58</v>
      </c>
      <c r="N36" t="s">
        <v>58</v>
      </c>
      <c r="O36" t="s">
        <v>58</v>
      </c>
      <c r="P36">
        <v>15</v>
      </c>
      <c r="Q36" t="s">
        <v>58</v>
      </c>
      <c r="R36">
        <v>46875</v>
      </c>
      <c r="S36">
        <v>80</v>
      </c>
      <c r="T36" t="s">
        <v>58</v>
      </c>
      <c r="U36" t="s">
        <v>58</v>
      </c>
      <c r="V36">
        <v>1094</v>
      </c>
      <c r="W36">
        <v>42250</v>
      </c>
      <c r="X36" t="s">
        <v>58</v>
      </c>
      <c r="Y36" t="s">
        <v>58</v>
      </c>
      <c r="Z36" t="s">
        <v>58</v>
      </c>
      <c r="AA36">
        <v>5566</v>
      </c>
      <c r="AB36" t="s">
        <v>58</v>
      </c>
      <c r="AC36">
        <v>16724</v>
      </c>
      <c r="AD36" t="s">
        <v>58</v>
      </c>
      <c r="AE36" t="s">
        <v>58</v>
      </c>
      <c r="AF36" t="s">
        <v>58</v>
      </c>
      <c r="AG36" t="s">
        <v>58</v>
      </c>
      <c r="AH36" t="s">
        <v>58</v>
      </c>
      <c r="AI36" t="s">
        <v>58</v>
      </c>
      <c r="AJ36" t="s">
        <v>58</v>
      </c>
      <c r="AK36" t="s">
        <v>58</v>
      </c>
      <c r="AL36" t="s">
        <v>58</v>
      </c>
      <c r="AM36" t="s">
        <v>58</v>
      </c>
      <c r="AN36" t="s">
        <v>58</v>
      </c>
      <c r="AO36" t="s">
        <v>58</v>
      </c>
      <c r="AP36">
        <v>1513</v>
      </c>
      <c r="AQ36" t="s">
        <v>58</v>
      </c>
      <c r="AR36">
        <v>8</v>
      </c>
      <c r="AS36" t="s">
        <v>58</v>
      </c>
      <c r="AT36" t="s">
        <v>58</v>
      </c>
      <c r="AU36">
        <v>5.31</v>
      </c>
      <c r="AV36" t="s">
        <v>58</v>
      </c>
      <c r="AW36" t="s">
        <v>58</v>
      </c>
      <c r="AX36">
        <v>4</v>
      </c>
      <c r="AY36">
        <v>58.25</v>
      </c>
      <c r="AZ36">
        <v>33.1</v>
      </c>
      <c r="BA36">
        <v>8.89</v>
      </c>
      <c r="BB36">
        <v>3.63</v>
      </c>
      <c r="BC36">
        <v>9.23</v>
      </c>
      <c r="BD36">
        <v>1</v>
      </c>
    </row>
    <row r="37" spans="1:56" x14ac:dyDescent="0.25">
      <c r="A37" t="s">
        <v>55</v>
      </c>
      <c r="B37" t="s">
        <v>56</v>
      </c>
      <c r="C37" t="s">
        <v>98</v>
      </c>
      <c r="D37" t="s">
        <v>99</v>
      </c>
      <c r="E37" t="s">
        <v>83</v>
      </c>
      <c r="G37" t="s">
        <v>57</v>
      </c>
      <c r="H37" t="s">
        <v>58</v>
      </c>
      <c r="I37" t="s">
        <v>58</v>
      </c>
      <c r="J37" t="s">
        <v>58</v>
      </c>
      <c r="K37" t="s">
        <v>58</v>
      </c>
      <c r="L37">
        <v>70</v>
      </c>
      <c r="M37" t="s">
        <v>58</v>
      </c>
      <c r="N37" t="s">
        <v>58</v>
      </c>
      <c r="O37" t="s">
        <v>58</v>
      </c>
      <c r="P37" t="s">
        <v>58</v>
      </c>
      <c r="Q37" t="s">
        <v>58</v>
      </c>
      <c r="R37">
        <v>25550</v>
      </c>
      <c r="S37" t="s">
        <v>58</v>
      </c>
      <c r="T37" t="s">
        <v>58</v>
      </c>
      <c r="U37" t="s">
        <v>58</v>
      </c>
      <c r="V37">
        <v>685</v>
      </c>
      <c r="W37">
        <v>23401</v>
      </c>
      <c r="X37" t="s">
        <v>58</v>
      </c>
      <c r="Y37" t="s">
        <v>58</v>
      </c>
      <c r="Z37" t="s">
        <v>58</v>
      </c>
      <c r="AA37" t="s">
        <v>58</v>
      </c>
      <c r="AB37" t="s">
        <v>58</v>
      </c>
      <c r="AC37" t="s">
        <v>58</v>
      </c>
      <c r="AD37" t="s">
        <v>58</v>
      </c>
      <c r="AE37" t="s">
        <v>58</v>
      </c>
      <c r="AF37" t="s">
        <v>58</v>
      </c>
      <c r="AG37" t="s">
        <v>58</v>
      </c>
      <c r="AH37" t="s">
        <v>58</v>
      </c>
      <c r="AI37" t="s">
        <v>58</v>
      </c>
      <c r="AJ37" t="s">
        <v>58</v>
      </c>
      <c r="AK37" t="s">
        <v>58</v>
      </c>
      <c r="AL37" t="s">
        <v>58</v>
      </c>
      <c r="AM37" t="s">
        <v>58</v>
      </c>
      <c r="AN37" t="s">
        <v>58</v>
      </c>
      <c r="AO37" t="s">
        <v>58</v>
      </c>
      <c r="AP37">
        <v>470</v>
      </c>
      <c r="AQ37" t="s">
        <v>58</v>
      </c>
      <c r="AR37">
        <v>2</v>
      </c>
      <c r="AS37">
        <v>1</v>
      </c>
      <c r="AT37" t="s">
        <v>58</v>
      </c>
      <c r="AU37">
        <v>1.83</v>
      </c>
      <c r="AV37">
        <v>0</v>
      </c>
      <c r="AW37">
        <v>0</v>
      </c>
      <c r="AX37" t="s">
        <v>58</v>
      </c>
      <c r="AY37">
        <v>36.299999999999997</v>
      </c>
      <c r="AZ37">
        <v>19.829999999999998</v>
      </c>
      <c r="BA37">
        <v>5.65</v>
      </c>
      <c r="BB37">
        <v>2.09</v>
      </c>
      <c r="BC37">
        <v>0.78</v>
      </c>
      <c r="BD37">
        <v>1.26</v>
      </c>
    </row>
    <row r="38" spans="1:56" hidden="1" x14ac:dyDescent="0.25">
      <c r="A38" t="s">
        <v>55</v>
      </c>
      <c r="B38" t="s">
        <v>56</v>
      </c>
      <c r="C38" t="s">
        <v>98</v>
      </c>
      <c r="D38" t="s">
        <v>99</v>
      </c>
      <c r="E38" t="s">
        <v>83</v>
      </c>
      <c r="G38" t="s">
        <v>61</v>
      </c>
      <c r="H38">
        <v>0</v>
      </c>
      <c r="I38" t="s">
        <v>58</v>
      </c>
      <c r="J38" t="s">
        <v>58</v>
      </c>
      <c r="K38">
        <v>0</v>
      </c>
      <c r="L38">
        <v>70</v>
      </c>
      <c r="M38" t="s">
        <v>58</v>
      </c>
      <c r="N38" t="s">
        <v>58</v>
      </c>
      <c r="O38" t="s">
        <v>58</v>
      </c>
      <c r="P38" t="s">
        <v>58</v>
      </c>
      <c r="Q38" t="s">
        <v>58</v>
      </c>
      <c r="R38">
        <v>25550</v>
      </c>
      <c r="S38" t="s">
        <v>58</v>
      </c>
      <c r="T38" t="s">
        <v>58</v>
      </c>
      <c r="U38" t="s">
        <v>58</v>
      </c>
      <c r="V38">
        <v>685</v>
      </c>
      <c r="W38">
        <v>23401</v>
      </c>
      <c r="X38" t="s">
        <v>58</v>
      </c>
      <c r="Y38" t="s">
        <v>58</v>
      </c>
      <c r="Z38" t="s">
        <v>58</v>
      </c>
      <c r="AA38" t="s">
        <v>58</v>
      </c>
      <c r="AB38" t="s">
        <v>58</v>
      </c>
      <c r="AC38" t="s">
        <v>58</v>
      </c>
      <c r="AD38" t="s">
        <v>58</v>
      </c>
      <c r="AE38" t="s">
        <v>58</v>
      </c>
      <c r="AF38" t="s">
        <v>58</v>
      </c>
      <c r="AG38" t="s">
        <v>58</v>
      </c>
      <c r="AH38" t="s">
        <v>58</v>
      </c>
      <c r="AI38" t="s">
        <v>58</v>
      </c>
      <c r="AJ38" t="s">
        <v>58</v>
      </c>
      <c r="AK38" t="s">
        <v>58</v>
      </c>
      <c r="AL38" t="s">
        <v>58</v>
      </c>
      <c r="AM38" t="s">
        <v>58</v>
      </c>
      <c r="AN38" t="s">
        <v>58</v>
      </c>
      <c r="AO38" t="s">
        <v>58</v>
      </c>
      <c r="AP38">
        <v>470</v>
      </c>
      <c r="AQ38" t="s">
        <v>58</v>
      </c>
      <c r="AR38">
        <v>2</v>
      </c>
      <c r="AS38">
        <v>1</v>
      </c>
      <c r="AT38" t="s">
        <v>58</v>
      </c>
      <c r="AU38">
        <v>1.83</v>
      </c>
      <c r="AV38" t="s">
        <v>58</v>
      </c>
      <c r="AW38" t="s">
        <v>58</v>
      </c>
      <c r="AX38" t="s">
        <v>58</v>
      </c>
      <c r="AY38">
        <v>36.299999999999997</v>
      </c>
      <c r="AZ38">
        <v>19.829999999999998</v>
      </c>
      <c r="BA38">
        <v>5.65</v>
      </c>
      <c r="BB38">
        <v>2.09</v>
      </c>
      <c r="BC38">
        <v>0.78</v>
      </c>
      <c r="BD38">
        <v>1.26</v>
      </c>
    </row>
    <row r="39" spans="1:56" x14ac:dyDescent="0.25">
      <c r="A39" t="s">
        <v>55</v>
      </c>
      <c r="B39" t="s">
        <v>56</v>
      </c>
      <c r="C39" t="s">
        <v>100</v>
      </c>
      <c r="D39" t="s">
        <v>101</v>
      </c>
      <c r="E39" t="s">
        <v>102</v>
      </c>
      <c r="G39" t="s">
        <v>57</v>
      </c>
      <c r="H39" t="s">
        <v>58</v>
      </c>
      <c r="I39" t="s">
        <v>58</v>
      </c>
      <c r="J39" t="s">
        <v>58</v>
      </c>
      <c r="K39" t="s">
        <v>58</v>
      </c>
      <c r="L39">
        <v>227</v>
      </c>
      <c r="M39" t="s">
        <v>58</v>
      </c>
      <c r="N39" t="s">
        <v>58</v>
      </c>
      <c r="O39" t="s">
        <v>58</v>
      </c>
      <c r="P39" t="s">
        <v>58</v>
      </c>
      <c r="Q39" t="s">
        <v>58</v>
      </c>
      <c r="R39">
        <v>73000</v>
      </c>
      <c r="S39" t="s">
        <v>58</v>
      </c>
      <c r="T39" t="s">
        <v>58</v>
      </c>
      <c r="U39" t="s">
        <v>58</v>
      </c>
      <c r="V39">
        <v>891</v>
      </c>
      <c r="W39">
        <v>64825</v>
      </c>
      <c r="X39" t="s">
        <v>58</v>
      </c>
      <c r="Y39" t="s">
        <v>58</v>
      </c>
      <c r="Z39" t="s">
        <v>58</v>
      </c>
      <c r="AA39" t="s">
        <v>58</v>
      </c>
      <c r="AB39" t="s">
        <v>58</v>
      </c>
      <c r="AC39" t="s">
        <v>58</v>
      </c>
      <c r="AD39" t="s">
        <v>58</v>
      </c>
      <c r="AE39" t="s">
        <v>58</v>
      </c>
      <c r="AF39" t="s">
        <v>58</v>
      </c>
      <c r="AG39" t="s">
        <v>58</v>
      </c>
      <c r="AH39" t="s">
        <v>58</v>
      </c>
      <c r="AI39" t="s">
        <v>58</v>
      </c>
      <c r="AJ39" t="s">
        <v>58</v>
      </c>
      <c r="AK39" t="s">
        <v>58</v>
      </c>
      <c r="AL39" t="s">
        <v>58</v>
      </c>
      <c r="AM39" t="s">
        <v>58</v>
      </c>
      <c r="AN39" t="s">
        <v>58</v>
      </c>
      <c r="AO39" t="s">
        <v>58</v>
      </c>
      <c r="AP39">
        <v>630</v>
      </c>
      <c r="AQ39" t="s">
        <v>58</v>
      </c>
      <c r="AR39">
        <v>7</v>
      </c>
      <c r="AS39" t="s">
        <v>58</v>
      </c>
      <c r="AT39" t="s">
        <v>58</v>
      </c>
      <c r="AU39" t="s">
        <v>58</v>
      </c>
      <c r="AV39">
        <v>0</v>
      </c>
      <c r="AW39">
        <v>1</v>
      </c>
      <c r="AX39" t="s">
        <v>58</v>
      </c>
      <c r="AY39">
        <v>62.28</v>
      </c>
      <c r="AZ39">
        <v>29.56</v>
      </c>
      <c r="BA39">
        <v>26.74</v>
      </c>
      <c r="BB39">
        <v>1.77</v>
      </c>
      <c r="BC39">
        <v>1</v>
      </c>
      <c r="BD39">
        <v>3.21</v>
      </c>
    </row>
    <row r="40" spans="1:56" hidden="1" x14ac:dyDescent="0.25">
      <c r="A40" t="s">
        <v>55</v>
      </c>
      <c r="B40" t="s">
        <v>56</v>
      </c>
      <c r="C40" t="s">
        <v>100</v>
      </c>
      <c r="D40" t="s">
        <v>101</v>
      </c>
      <c r="E40" t="s">
        <v>102</v>
      </c>
      <c r="G40" t="s">
        <v>61</v>
      </c>
      <c r="H40">
        <v>0</v>
      </c>
      <c r="I40" t="s">
        <v>58</v>
      </c>
      <c r="J40" t="s">
        <v>58</v>
      </c>
      <c r="K40">
        <v>0</v>
      </c>
      <c r="L40">
        <v>227</v>
      </c>
      <c r="M40" t="s">
        <v>58</v>
      </c>
      <c r="N40" t="s">
        <v>58</v>
      </c>
      <c r="O40" t="s">
        <v>58</v>
      </c>
      <c r="P40" t="s">
        <v>58</v>
      </c>
      <c r="Q40" t="s">
        <v>58</v>
      </c>
      <c r="R40">
        <v>73000</v>
      </c>
      <c r="S40" t="s">
        <v>58</v>
      </c>
      <c r="T40" t="s">
        <v>58</v>
      </c>
      <c r="U40" t="s">
        <v>58</v>
      </c>
      <c r="V40">
        <v>891</v>
      </c>
      <c r="W40">
        <v>64825</v>
      </c>
      <c r="X40" t="s">
        <v>58</v>
      </c>
      <c r="Y40" t="s">
        <v>58</v>
      </c>
      <c r="Z40" t="s">
        <v>58</v>
      </c>
      <c r="AA40" t="s">
        <v>58</v>
      </c>
      <c r="AB40" t="s">
        <v>58</v>
      </c>
      <c r="AC40" t="s">
        <v>58</v>
      </c>
      <c r="AD40" t="s">
        <v>58</v>
      </c>
      <c r="AE40" t="s">
        <v>58</v>
      </c>
      <c r="AF40" t="s">
        <v>58</v>
      </c>
      <c r="AG40" t="s">
        <v>58</v>
      </c>
      <c r="AH40" t="s">
        <v>58</v>
      </c>
      <c r="AI40" t="s">
        <v>58</v>
      </c>
      <c r="AJ40" t="s">
        <v>58</v>
      </c>
      <c r="AK40" t="s">
        <v>58</v>
      </c>
      <c r="AL40" t="s">
        <v>58</v>
      </c>
      <c r="AM40" t="s">
        <v>58</v>
      </c>
      <c r="AN40" t="s">
        <v>58</v>
      </c>
      <c r="AO40" t="s">
        <v>58</v>
      </c>
      <c r="AP40">
        <v>630</v>
      </c>
      <c r="AQ40" t="s">
        <v>58</v>
      </c>
      <c r="AR40">
        <v>7</v>
      </c>
      <c r="AS40" t="s">
        <v>58</v>
      </c>
      <c r="AT40" t="s">
        <v>58</v>
      </c>
      <c r="AU40" t="s">
        <v>58</v>
      </c>
      <c r="AV40" t="s">
        <v>58</v>
      </c>
      <c r="AW40" t="s">
        <v>58</v>
      </c>
      <c r="AX40" t="s">
        <v>58</v>
      </c>
      <c r="AY40">
        <v>62.28</v>
      </c>
      <c r="AZ40">
        <v>29.56</v>
      </c>
      <c r="BA40">
        <v>26.74</v>
      </c>
      <c r="BB40">
        <v>1.77</v>
      </c>
      <c r="BC40">
        <v>1</v>
      </c>
      <c r="BD40">
        <v>3.21</v>
      </c>
    </row>
    <row r="41" spans="1:56" x14ac:dyDescent="0.25">
      <c r="A41" t="s">
        <v>55</v>
      </c>
      <c r="B41" t="s">
        <v>56</v>
      </c>
      <c r="C41" t="s">
        <v>103</v>
      </c>
      <c r="D41" t="s">
        <v>104</v>
      </c>
      <c r="E41" t="s">
        <v>105</v>
      </c>
      <c r="G41" t="s">
        <v>57</v>
      </c>
      <c r="H41" t="s">
        <v>58</v>
      </c>
      <c r="I41" t="s">
        <v>58</v>
      </c>
      <c r="J41" t="s">
        <v>58</v>
      </c>
      <c r="K41" t="s">
        <v>58</v>
      </c>
      <c r="L41">
        <v>96</v>
      </c>
      <c r="M41" t="s">
        <v>58</v>
      </c>
      <c r="N41" t="s">
        <v>58</v>
      </c>
      <c r="O41" t="s">
        <v>58</v>
      </c>
      <c r="P41">
        <v>9</v>
      </c>
      <c r="Q41" t="s">
        <v>58</v>
      </c>
      <c r="R41">
        <v>35040</v>
      </c>
      <c r="S41">
        <v>12</v>
      </c>
      <c r="T41" t="s">
        <v>58</v>
      </c>
      <c r="U41" t="s">
        <v>58</v>
      </c>
      <c r="V41">
        <v>1086</v>
      </c>
      <c r="W41">
        <v>32156</v>
      </c>
      <c r="X41" t="s">
        <v>58</v>
      </c>
      <c r="Y41" t="s">
        <v>58</v>
      </c>
      <c r="Z41" t="s">
        <v>58</v>
      </c>
      <c r="AA41">
        <v>1685</v>
      </c>
      <c r="AB41" t="s">
        <v>58</v>
      </c>
      <c r="AC41">
        <v>3825</v>
      </c>
      <c r="AD41" t="s">
        <v>58</v>
      </c>
      <c r="AE41" t="s">
        <v>58</v>
      </c>
      <c r="AF41" t="s">
        <v>58</v>
      </c>
      <c r="AG41" t="s">
        <v>58</v>
      </c>
      <c r="AH41" t="s">
        <v>58</v>
      </c>
      <c r="AI41" t="s">
        <v>58</v>
      </c>
      <c r="AJ41" t="s">
        <v>58</v>
      </c>
      <c r="AK41" t="s">
        <v>58</v>
      </c>
      <c r="AL41" t="s">
        <v>58</v>
      </c>
      <c r="AM41" t="s">
        <v>58</v>
      </c>
      <c r="AN41" t="s">
        <v>58</v>
      </c>
      <c r="AO41" t="s">
        <v>58</v>
      </c>
      <c r="AP41">
        <v>908</v>
      </c>
      <c r="AQ41" t="s">
        <v>58</v>
      </c>
      <c r="AR41">
        <v>4</v>
      </c>
      <c r="AS41" t="s">
        <v>58</v>
      </c>
      <c r="AT41" t="s">
        <v>58</v>
      </c>
      <c r="AU41">
        <v>0.85</v>
      </c>
      <c r="AV41">
        <v>0</v>
      </c>
      <c r="AW41">
        <v>1</v>
      </c>
      <c r="AX41">
        <v>3</v>
      </c>
      <c r="AY41">
        <v>67.040000000000006</v>
      </c>
      <c r="AZ41">
        <v>39.18</v>
      </c>
      <c r="BA41">
        <v>10.95</v>
      </c>
      <c r="BB41">
        <v>2.4500000000000002</v>
      </c>
      <c r="BC41">
        <v>1</v>
      </c>
      <c r="BD41">
        <v>1</v>
      </c>
    </row>
    <row r="42" spans="1:56" hidden="1" x14ac:dyDescent="0.25">
      <c r="A42" t="s">
        <v>55</v>
      </c>
      <c r="B42" t="s">
        <v>56</v>
      </c>
      <c r="C42" t="s">
        <v>103</v>
      </c>
      <c r="D42" t="s">
        <v>104</v>
      </c>
      <c r="E42" t="s">
        <v>105</v>
      </c>
      <c r="G42" t="s">
        <v>61</v>
      </c>
      <c r="H42">
        <v>0</v>
      </c>
      <c r="I42" t="s">
        <v>58</v>
      </c>
      <c r="J42" t="s">
        <v>58</v>
      </c>
      <c r="K42">
        <v>0</v>
      </c>
      <c r="L42">
        <v>96</v>
      </c>
      <c r="M42" t="s">
        <v>58</v>
      </c>
      <c r="N42" t="s">
        <v>58</v>
      </c>
      <c r="O42" t="s">
        <v>58</v>
      </c>
      <c r="P42">
        <v>9</v>
      </c>
      <c r="Q42" t="s">
        <v>58</v>
      </c>
      <c r="R42">
        <v>35040</v>
      </c>
      <c r="S42">
        <v>12</v>
      </c>
      <c r="T42" t="s">
        <v>58</v>
      </c>
      <c r="U42" t="s">
        <v>58</v>
      </c>
      <c r="V42">
        <v>1086</v>
      </c>
      <c r="W42">
        <v>32156</v>
      </c>
      <c r="X42" t="s">
        <v>58</v>
      </c>
      <c r="Y42" t="s">
        <v>58</v>
      </c>
      <c r="Z42" t="s">
        <v>58</v>
      </c>
      <c r="AA42">
        <v>1685</v>
      </c>
      <c r="AB42" t="s">
        <v>58</v>
      </c>
      <c r="AC42">
        <v>3825</v>
      </c>
      <c r="AD42" t="s">
        <v>58</v>
      </c>
      <c r="AE42" t="s">
        <v>58</v>
      </c>
      <c r="AF42" t="s">
        <v>58</v>
      </c>
      <c r="AG42" t="s">
        <v>58</v>
      </c>
      <c r="AH42" t="s">
        <v>58</v>
      </c>
      <c r="AI42" t="s">
        <v>58</v>
      </c>
      <c r="AJ42" t="s">
        <v>58</v>
      </c>
      <c r="AK42" t="s">
        <v>58</v>
      </c>
      <c r="AL42" t="s">
        <v>58</v>
      </c>
      <c r="AM42" t="s">
        <v>58</v>
      </c>
      <c r="AN42" t="s">
        <v>58</v>
      </c>
      <c r="AO42" t="s">
        <v>58</v>
      </c>
      <c r="AP42">
        <v>908</v>
      </c>
      <c r="AQ42" t="s">
        <v>58</v>
      </c>
      <c r="AR42">
        <v>4</v>
      </c>
      <c r="AS42" t="s">
        <v>58</v>
      </c>
      <c r="AT42" t="s">
        <v>58</v>
      </c>
      <c r="AU42">
        <v>0.85</v>
      </c>
      <c r="AV42" t="s">
        <v>58</v>
      </c>
      <c r="AW42" t="s">
        <v>58</v>
      </c>
      <c r="AX42">
        <v>3</v>
      </c>
      <c r="AY42">
        <v>67.040000000000006</v>
      </c>
      <c r="AZ42">
        <v>39.18</v>
      </c>
      <c r="BA42">
        <v>10.95</v>
      </c>
      <c r="BB42">
        <v>2.4500000000000002</v>
      </c>
      <c r="BC42">
        <v>1</v>
      </c>
      <c r="BD42">
        <v>1</v>
      </c>
    </row>
    <row r="43" spans="1:56" x14ac:dyDescent="0.25">
      <c r="A43" t="s">
        <v>55</v>
      </c>
      <c r="B43" t="s">
        <v>56</v>
      </c>
      <c r="C43" t="s">
        <v>106</v>
      </c>
      <c r="D43" t="s">
        <v>107</v>
      </c>
      <c r="E43" t="s">
        <v>108</v>
      </c>
      <c r="F43" s="280">
        <v>300780384</v>
      </c>
      <c r="G43" t="s">
        <v>59</v>
      </c>
      <c r="H43" t="s">
        <v>58</v>
      </c>
      <c r="I43">
        <v>1</v>
      </c>
      <c r="J43" t="s">
        <v>58</v>
      </c>
      <c r="K43" t="s">
        <v>58</v>
      </c>
      <c r="L43" t="s">
        <v>58</v>
      </c>
      <c r="M43">
        <v>6</v>
      </c>
      <c r="N43" t="s">
        <v>58</v>
      </c>
      <c r="O43" t="s">
        <v>58</v>
      </c>
      <c r="P43" t="s">
        <v>58</v>
      </c>
      <c r="Q43" t="s">
        <v>58</v>
      </c>
      <c r="R43" t="s">
        <v>58</v>
      </c>
      <c r="S43">
        <v>8</v>
      </c>
      <c r="T43" t="s">
        <v>58</v>
      </c>
      <c r="U43" t="s">
        <v>58</v>
      </c>
      <c r="V43" t="s">
        <v>58</v>
      </c>
      <c r="W43" t="s">
        <v>58</v>
      </c>
      <c r="X43">
        <v>679</v>
      </c>
      <c r="Y43" t="s">
        <v>58</v>
      </c>
      <c r="Z43" t="s">
        <v>58</v>
      </c>
      <c r="AA43" t="s">
        <v>58</v>
      </c>
      <c r="AB43" t="s">
        <v>58</v>
      </c>
      <c r="AC43">
        <v>1707</v>
      </c>
      <c r="AD43" t="s">
        <v>58</v>
      </c>
      <c r="AE43" t="s">
        <v>58</v>
      </c>
      <c r="AF43">
        <v>1</v>
      </c>
      <c r="AG43">
        <v>1</v>
      </c>
      <c r="AH43" t="s">
        <v>58</v>
      </c>
      <c r="AI43">
        <v>4141</v>
      </c>
      <c r="AJ43">
        <v>1490</v>
      </c>
      <c r="AK43" t="s">
        <v>58</v>
      </c>
      <c r="AL43">
        <v>11</v>
      </c>
      <c r="AM43" t="s">
        <v>58</v>
      </c>
      <c r="AN43" t="s">
        <v>58</v>
      </c>
      <c r="AO43">
        <v>53</v>
      </c>
      <c r="AP43">
        <v>393</v>
      </c>
      <c r="AQ43">
        <v>357</v>
      </c>
      <c r="AR43" t="s">
        <v>58</v>
      </c>
      <c r="AS43" t="s">
        <v>58</v>
      </c>
      <c r="AT43" t="s">
        <v>58</v>
      </c>
      <c r="AU43" t="s">
        <v>58</v>
      </c>
      <c r="AV43">
        <v>0</v>
      </c>
      <c r="AW43">
        <v>1</v>
      </c>
      <c r="AX43" t="s">
        <v>58</v>
      </c>
      <c r="AY43">
        <v>25.25</v>
      </c>
      <c r="AZ43">
        <v>8.17</v>
      </c>
      <c r="BA43" t="s">
        <v>58</v>
      </c>
      <c r="BB43">
        <v>3</v>
      </c>
      <c r="BC43">
        <v>2.62</v>
      </c>
      <c r="BD43">
        <v>11.46</v>
      </c>
    </row>
    <row r="44" spans="1:56" hidden="1" x14ac:dyDescent="0.25">
      <c r="A44" t="s">
        <v>55</v>
      </c>
      <c r="B44" t="s">
        <v>56</v>
      </c>
      <c r="C44" t="s">
        <v>106</v>
      </c>
      <c r="D44" t="s">
        <v>107</v>
      </c>
      <c r="E44" t="s">
        <v>108</v>
      </c>
      <c r="G44" t="s">
        <v>61</v>
      </c>
      <c r="H44">
        <v>1</v>
      </c>
      <c r="I44" t="s">
        <v>58</v>
      </c>
      <c r="J44" t="s">
        <v>58</v>
      </c>
      <c r="K44">
        <v>0</v>
      </c>
      <c r="L44" t="s">
        <v>58</v>
      </c>
      <c r="M44">
        <v>6</v>
      </c>
      <c r="N44" t="s">
        <v>58</v>
      </c>
      <c r="O44" t="s">
        <v>58</v>
      </c>
      <c r="P44" t="s">
        <v>58</v>
      </c>
      <c r="Q44" t="s">
        <v>58</v>
      </c>
      <c r="R44" t="s">
        <v>58</v>
      </c>
      <c r="S44">
        <v>8</v>
      </c>
      <c r="T44" t="s">
        <v>58</v>
      </c>
      <c r="U44" t="s">
        <v>58</v>
      </c>
      <c r="V44" t="s">
        <v>58</v>
      </c>
      <c r="W44" t="s">
        <v>58</v>
      </c>
      <c r="X44">
        <v>679</v>
      </c>
      <c r="Y44" t="s">
        <v>58</v>
      </c>
      <c r="Z44" t="s">
        <v>58</v>
      </c>
      <c r="AA44" t="s">
        <v>58</v>
      </c>
      <c r="AB44" t="s">
        <v>58</v>
      </c>
      <c r="AC44">
        <v>1707</v>
      </c>
      <c r="AD44" t="s">
        <v>58</v>
      </c>
      <c r="AE44" t="s">
        <v>58</v>
      </c>
      <c r="AF44">
        <v>1</v>
      </c>
      <c r="AG44">
        <v>1</v>
      </c>
      <c r="AH44" t="s">
        <v>58</v>
      </c>
      <c r="AI44">
        <v>4141</v>
      </c>
      <c r="AJ44">
        <v>1490</v>
      </c>
      <c r="AK44" t="s">
        <v>58</v>
      </c>
      <c r="AL44">
        <v>11</v>
      </c>
      <c r="AM44" t="s">
        <v>58</v>
      </c>
      <c r="AN44" t="s">
        <v>58</v>
      </c>
      <c r="AO44">
        <v>53</v>
      </c>
      <c r="AP44">
        <v>393</v>
      </c>
      <c r="AQ44">
        <v>357</v>
      </c>
      <c r="AR44" t="s">
        <v>58</v>
      </c>
      <c r="AS44" t="s">
        <v>58</v>
      </c>
      <c r="AT44" t="s">
        <v>58</v>
      </c>
      <c r="AU44" t="s">
        <v>58</v>
      </c>
      <c r="AV44" t="s">
        <v>58</v>
      </c>
      <c r="AW44" t="s">
        <v>58</v>
      </c>
      <c r="AX44" t="s">
        <v>58</v>
      </c>
      <c r="AY44">
        <v>25.25</v>
      </c>
      <c r="AZ44">
        <v>8.17</v>
      </c>
      <c r="BA44" t="s">
        <v>58</v>
      </c>
      <c r="BB44">
        <v>3</v>
      </c>
      <c r="BC44">
        <v>2.62</v>
      </c>
      <c r="BD44">
        <v>11.46</v>
      </c>
    </row>
    <row r="45" spans="1:56" x14ac:dyDescent="0.25">
      <c r="A45" t="s">
        <v>55</v>
      </c>
      <c r="B45" t="s">
        <v>56</v>
      </c>
      <c r="C45" t="s">
        <v>109</v>
      </c>
      <c r="D45" s="74" t="s">
        <v>110</v>
      </c>
      <c r="E45" t="s">
        <v>111</v>
      </c>
      <c r="G45" t="s">
        <v>57</v>
      </c>
      <c r="H45" t="s">
        <v>58</v>
      </c>
      <c r="I45">
        <v>1</v>
      </c>
      <c r="J45" t="s">
        <v>58</v>
      </c>
      <c r="K45" t="s">
        <v>58</v>
      </c>
      <c r="L45">
        <v>63</v>
      </c>
      <c r="M45" t="s">
        <v>58</v>
      </c>
      <c r="N45" t="s">
        <v>58</v>
      </c>
      <c r="O45" t="s">
        <v>58</v>
      </c>
      <c r="P45" t="s">
        <v>58</v>
      </c>
      <c r="Q45" t="s">
        <v>58</v>
      </c>
      <c r="R45">
        <v>21278</v>
      </c>
      <c r="S45">
        <v>8</v>
      </c>
      <c r="T45" t="s">
        <v>58</v>
      </c>
      <c r="U45" t="s">
        <v>58</v>
      </c>
      <c r="V45">
        <v>474</v>
      </c>
      <c r="W45">
        <v>21278</v>
      </c>
      <c r="X45" t="s">
        <v>58</v>
      </c>
      <c r="Y45" t="s">
        <v>58</v>
      </c>
      <c r="Z45" t="s">
        <v>58</v>
      </c>
      <c r="AA45" t="s">
        <v>58</v>
      </c>
      <c r="AB45" t="s">
        <v>58</v>
      </c>
      <c r="AC45">
        <v>4697</v>
      </c>
      <c r="AD45" t="s">
        <v>58</v>
      </c>
      <c r="AE45" t="s">
        <v>58</v>
      </c>
      <c r="AF45" t="s">
        <v>58</v>
      </c>
      <c r="AG45" t="s">
        <v>58</v>
      </c>
      <c r="AH45" t="s">
        <v>58</v>
      </c>
      <c r="AI45" t="s">
        <v>58</v>
      </c>
      <c r="AJ45" t="s">
        <v>58</v>
      </c>
      <c r="AK45" t="s">
        <v>58</v>
      </c>
      <c r="AL45" t="s">
        <v>58</v>
      </c>
      <c r="AM45" t="s">
        <v>58</v>
      </c>
      <c r="AN45" t="s">
        <v>58</v>
      </c>
      <c r="AO45" t="s">
        <v>58</v>
      </c>
      <c r="AP45">
        <v>510</v>
      </c>
      <c r="AQ45" t="s">
        <v>58</v>
      </c>
      <c r="AR45">
        <v>3</v>
      </c>
      <c r="AS45">
        <v>0</v>
      </c>
      <c r="AT45">
        <v>3</v>
      </c>
      <c r="AU45">
        <v>0.5</v>
      </c>
      <c r="AV45">
        <v>0</v>
      </c>
      <c r="AW45">
        <v>1</v>
      </c>
      <c r="AX45" t="s">
        <v>58</v>
      </c>
      <c r="AY45">
        <v>0</v>
      </c>
      <c r="AZ45">
        <v>15.8</v>
      </c>
      <c r="BA45">
        <v>7</v>
      </c>
      <c r="BB45">
        <v>1.69</v>
      </c>
      <c r="BC45">
        <v>2.1800000000000002</v>
      </c>
      <c r="BD45">
        <v>2</v>
      </c>
    </row>
    <row r="46" spans="1:56" hidden="1" x14ac:dyDescent="0.25">
      <c r="A46" t="s">
        <v>55</v>
      </c>
      <c r="B46" t="s">
        <v>56</v>
      </c>
      <c r="C46" t="s">
        <v>109</v>
      </c>
      <c r="D46" t="s">
        <v>110</v>
      </c>
      <c r="E46" t="s">
        <v>111</v>
      </c>
      <c r="G46" t="s">
        <v>61</v>
      </c>
      <c r="H46">
        <v>1</v>
      </c>
      <c r="I46" t="s">
        <v>58</v>
      </c>
      <c r="J46">
        <v>0</v>
      </c>
      <c r="K46">
        <v>0</v>
      </c>
      <c r="L46">
        <v>63</v>
      </c>
      <c r="M46" t="s">
        <v>58</v>
      </c>
      <c r="N46" t="s">
        <v>58</v>
      </c>
      <c r="O46" t="s">
        <v>58</v>
      </c>
      <c r="P46" t="s">
        <v>58</v>
      </c>
      <c r="Q46" t="s">
        <v>58</v>
      </c>
      <c r="R46">
        <v>21278</v>
      </c>
      <c r="S46">
        <v>8</v>
      </c>
      <c r="T46" t="s">
        <v>58</v>
      </c>
      <c r="U46" t="s">
        <v>58</v>
      </c>
      <c r="V46">
        <v>474</v>
      </c>
      <c r="W46">
        <v>21278</v>
      </c>
      <c r="X46" t="s">
        <v>58</v>
      </c>
      <c r="Y46" t="s">
        <v>58</v>
      </c>
      <c r="Z46" t="s">
        <v>58</v>
      </c>
      <c r="AA46" t="s">
        <v>58</v>
      </c>
      <c r="AB46" t="s">
        <v>58</v>
      </c>
      <c r="AC46">
        <v>4697</v>
      </c>
      <c r="AD46" t="s">
        <v>58</v>
      </c>
      <c r="AE46" t="s">
        <v>58</v>
      </c>
      <c r="AF46" t="s">
        <v>58</v>
      </c>
      <c r="AG46" t="s">
        <v>58</v>
      </c>
      <c r="AH46" t="s">
        <v>58</v>
      </c>
      <c r="AI46" t="s">
        <v>58</v>
      </c>
      <c r="AJ46" t="s">
        <v>58</v>
      </c>
      <c r="AK46" t="s">
        <v>58</v>
      </c>
      <c r="AL46" t="s">
        <v>58</v>
      </c>
      <c r="AM46" t="s">
        <v>58</v>
      </c>
      <c r="AN46" t="s">
        <v>58</v>
      </c>
      <c r="AO46" t="s">
        <v>58</v>
      </c>
      <c r="AP46">
        <v>510</v>
      </c>
      <c r="AQ46" t="s">
        <v>58</v>
      </c>
      <c r="AR46">
        <v>3</v>
      </c>
      <c r="AS46">
        <v>0</v>
      </c>
      <c r="AT46">
        <v>3</v>
      </c>
      <c r="AU46">
        <v>0.5</v>
      </c>
      <c r="AV46" t="s">
        <v>58</v>
      </c>
      <c r="AW46" t="s">
        <v>58</v>
      </c>
      <c r="AX46" t="s">
        <v>58</v>
      </c>
      <c r="AY46">
        <v>0</v>
      </c>
      <c r="AZ46">
        <v>15.8</v>
      </c>
      <c r="BA46">
        <v>7</v>
      </c>
      <c r="BB46">
        <v>1.69</v>
      </c>
      <c r="BC46">
        <v>2.1800000000000002</v>
      </c>
      <c r="BD46">
        <v>2</v>
      </c>
    </row>
    <row r="47" spans="1:56" x14ac:dyDescent="0.25">
      <c r="A47" t="s">
        <v>55</v>
      </c>
      <c r="B47" t="s">
        <v>56</v>
      </c>
      <c r="C47" t="s">
        <v>112</v>
      </c>
      <c r="D47" t="s">
        <v>113</v>
      </c>
      <c r="E47" t="s">
        <v>114</v>
      </c>
      <c r="G47" t="s">
        <v>57</v>
      </c>
      <c r="H47" t="s">
        <v>58</v>
      </c>
      <c r="I47">
        <v>2</v>
      </c>
      <c r="J47" t="s">
        <v>58</v>
      </c>
      <c r="K47" t="s">
        <v>58</v>
      </c>
      <c r="L47">
        <v>70</v>
      </c>
      <c r="M47">
        <v>0</v>
      </c>
      <c r="N47" t="s">
        <v>58</v>
      </c>
      <c r="O47" t="s">
        <v>58</v>
      </c>
      <c r="P47" t="s">
        <v>58</v>
      </c>
      <c r="Q47" t="s">
        <v>58</v>
      </c>
      <c r="R47">
        <v>25550</v>
      </c>
      <c r="S47">
        <v>20</v>
      </c>
      <c r="T47" t="s">
        <v>58</v>
      </c>
      <c r="U47">
        <v>3</v>
      </c>
      <c r="V47">
        <v>848</v>
      </c>
      <c r="W47">
        <v>14232</v>
      </c>
      <c r="X47" t="s">
        <v>58</v>
      </c>
      <c r="Y47" t="s">
        <v>58</v>
      </c>
      <c r="Z47" t="s">
        <v>58</v>
      </c>
      <c r="AA47" t="s">
        <v>58</v>
      </c>
      <c r="AB47" t="s">
        <v>58</v>
      </c>
      <c r="AC47">
        <v>1454</v>
      </c>
      <c r="AD47" t="s">
        <v>58</v>
      </c>
      <c r="AE47">
        <v>658</v>
      </c>
      <c r="AF47">
        <v>4</v>
      </c>
      <c r="AG47">
        <v>2</v>
      </c>
      <c r="AH47">
        <v>0</v>
      </c>
      <c r="AI47">
        <v>13520</v>
      </c>
      <c r="AJ47">
        <v>6036</v>
      </c>
      <c r="AK47">
        <v>68</v>
      </c>
      <c r="AL47">
        <v>745</v>
      </c>
      <c r="AM47">
        <v>1063</v>
      </c>
      <c r="AN47">
        <v>9</v>
      </c>
      <c r="AO47">
        <v>1</v>
      </c>
      <c r="AP47">
        <v>4375</v>
      </c>
      <c r="AQ47">
        <v>3993</v>
      </c>
      <c r="AR47" t="s">
        <v>58</v>
      </c>
      <c r="AS47">
        <v>14.59</v>
      </c>
      <c r="AT47" t="s">
        <v>58</v>
      </c>
      <c r="AU47">
        <v>0.01</v>
      </c>
      <c r="AV47">
        <v>1</v>
      </c>
      <c r="AW47">
        <v>0</v>
      </c>
      <c r="AX47" t="s">
        <v>58</v>
      </c>
      <c r="AY47">
        <v>192.34</v>
      </c>
      <c r="AZ47">
        <v>84.91</v>
      </c>
      <c r="BA47">
        <v>63.48</v>
      </c>
      <c r="BB47">
        <v>11.28</v>
      </c>
      <c r="BC47">
        <v>2.7</v>
      </c>
      <c r="BD47">
        <v>0.17</v>
      </c>
    </row>
    <row r="48" spans="1:56" x14ac:dyDescent="0.25">
      <c r="A48" t="s">
        <v>55</v>
      </c>
      <c r="B48" t="s">
        <v>56</v>
      </c>
      <c r="C48" t="s">
        <v>112</v>
      </c>
      <c r="D48" t="s">
        <v>113</v>
      </c>
      <c r="E48" t="s">
        <v>114</v>
      </c>
      <c r="F48" s="273">
        <v>300780038</v>
      </c>
      <c r="G48" t="s">
        <v>59</v>
      </c>
      <c r="H48" t="s">
        <v>58</v>
      </c>
      <c r="I48">
        <v>1</v>
      </c>
      <c r="J48" t="s">
        <v>58</v>
      </c>
      <c r="K48" t="s">
        <v>58</v>
      </c>
      <c r="L48">
        <v>10</v>
      </c>
      <c r="M48" t="s">
        <v>58</v>
      </c>
      <c r="N48" t="s">
        <v>58</v>
      </c>
      <c r="O48" t="s">
        <v>58</v>
      </c>
      <c r="P48" t="s">
        <v>58</v>
      </c>
      <c r="Q48" t="s">
        <v>58</v>
      </c>
      <c r="R48">
        <v>3650</v>
      </c>
      <c r="S48">
        <v>24</v>
      </c>
      <c r="T48" t="s">
        <v>58</v>
      </c>
      <c r="U48" t="s">
        <v>58</v>
      </c>
      <c r="V48">
        <v>166</v>
      </c>
      <c r="W48">
        <v>2678</v>
      </c>
      <c r="X48" t="s">
        <v>58</v>
      </c>
      <c r="Y48" t="s">
        <v>58</v>
      </c>
      <c r="Z48" t="s">
        <v>58</v>
      </c>
      <c r="AA48" t="s">
        <v>58</v>
      </c>
      <c r="AB48" t="s">
        <v>58</v>
      </c>
      <c r="AC48">
        <v>2219</v>
      </c>
      <c r="AD48" t="s">
        <v>58</v>
      </c>
      <c r="AE48" t="s">
        <v>58</v>
      </c>
      <c r="AF48">
        <v>4</v>
      </c>
      <c r="AG48">
        <v>2</v>
      </c>
      <c r="AH48" t="s">
        <v>58</v>
      </c>
      <c r="AI48">
        <v>7975</v>
      </c>
      <c r="AJ48">
        <v>1820</v>
      </c>
      <c r="AK48" t="s">
        <v>58</v>
      </c>
      <c r="AL48">
        <v>37</v>
      </c>
      <c r="AM48">
        <v>14</v>
      </c>
      <c r="AN48">
        <v>6</v>
      </c>
      <c r="AO48">
        <v>50</v>
      </c>
      <c r="AP48">
        <v>1529</v>
      </c>
      <c r="AQ48">
        <v>1363</v>
      </c>
      <c r="AR48" t="s">
        <v>58</v>
      </c>
      <c r="AS48">
        <v>5.51</v>
      </c>
      <c r="AT48" t="s">
        <v>58</v>
      </c>
      <c r="AU48">
        <v>0.06</v>
      </c>
      <c r="AV48">
        <v>0</v>
      </c>
      <c r="AW48">
        <v>0</v>
      </c>
      <c r="AX48" t="s">
        <v>58</v>
      </c>
      <c r="AY48">
        <v>61.13</v>
      </c>
      <c r="AZ48">
        <v>23.82</v>
      </c>
      <c r="BA48">
        <v>2.69</v>
      </c>
      <c r="BB48">
        <v>9.64</v>
      </c>
      <c r="BC48">
        <v>4.75</v>
      </c>
      <c r="BD48">
        <v>14.82</v>
      </c>
    </row>
    <row r="49" spans="1:56" x14ac:dyDescent="0.25">
      <c r="A49" t="s">
        <v>55</v>
      </c>
      <c r="B49" t="s">
        <v>56</v>
      </c>
      <c r="C49" t="s">
        <v>112</v>
      </c>
      <c r="D49" t="s">
        <v>113</v>
      </c>
      <c r="E49" t="s">
        <v>114</v>
      </c>
      <c r="F49" s="273">
        <v>300780038</v>
      </c>
      <c r="G49" t="s">
        <v>60</v>
      </c>
      <c r="H49" t="s">
        <v>58</v>
      </c>
      <c r="I49" t="s">
        <v>58</v>
      </c>
      <c r="J49" t="s">
        <v>58</v>
      </c>
      <c r="K49" t="s">
        <v>58</v>
      </c>
      <c r="L49" t="s">
        <v>58</v>
      </c>
      <c r="M49" t="s">
        <v>58</v>
      </c>
      <c r="N49" t="s">
        <v>58</v>
      </c>
      <c r="O49" t="s">
        <v>58</v>
      </c>
      <c r="P49" t="s">
        <v>58</v>
      </c>
      <c r="Q49" t="s">
        <v>58</v>
      </c>
      <c r="R49" t="s">
        <v>58</v>
      </c>
      <c r="S49" t="s">
        <v>58</v>
      </c>
      <c r="T49" t="s">
        <v>58</v>
      </c>
      <c r="U49" t="s">
        <v>58</v>
      </c>
      <c r="V49" t="s">
        <v>58</v>
      </c>
      <c r="W49" t="s">
        <v>58</v>
      </c>
      <c r="X49" t="s">
        <v>58</v>
      </c>
      <c r="Y49" t="s">
        <v>58</v>
      </c>
      <c r="Z49" t="s">
        <v>58</v>
      </c>
      <c r="AA49" t="s">
        <v>58</v>
      </c>
      <c r="AB49" t="s">
        <v>58</v>
      </c>
      <c r="AC49" t="s">
        <v>58</v>
      </c>
      <c r="AD49" t="s">
        <v>58</v>
      </c>
      <c r="AE49" t="s">
        <v>58</v>
      </c>
      <c r="AF49" t="s">
        <v>58</v>
      </c>
      <c r="AG49" t="s">
        <v>58</v>
      </c>
      <c r="AH49" t="s">
        <v>58</v>
      </c>
      <c r="AI49" t="s">
        <v>58</v>
      </c>
      <c r="AJ49" t="s">
        <v>58</v>
      </c>
      <c r="AK49" t="s">
        <v>58</v>
      </c>
      <c r="AL49" t="s">
        <v>58</v>
      </c>
      <c r="AM49" t="s">
        <v>58</v>
      </c>
      <c r="AN49" t="s">
        <v>58</v>
      </c>
      <c r="AO49" t="s">
        <v>58</v>
      </c>
      <c r="AP49" t="s">
        <v>58</v>
      </c>
      <c r="AQ49" t="s">
        <v>58</v>
      </c>
      <c r="AR49" t="s">
        <v>58</v>
      </c>
      <c r="AS49" t="s">
        <v>58</v>
      </c>
      <c r="AT49" t="s">
        <v>58</v>
      </c>
      <c r="AU49">
        <v>4.74</v>
      </c>
      <c r="AV49" t="s">
        <v>58</v>
      </c>
      <c r="AW49" t="s">
        <v>58</v>
      </c>
      <c r="AX49" t="s">
        <v>58</v>
      </c>
      <c r="AY49" t="s">
        <v>58</v>
      </c>
      <c r="AZ49" t="s">
        <v>58</v>
      </c>
      <c r="BA49" t="s">
        <v>58</v>
      </c>
      <c r="BB49" t="s">
        <v>58</v>
      </c>
      <c r="BC49" t="s">
        <v>58</v>
      </c>
      <c r="BD49" t="s">
        <v>58</v>
      </c>
    </row>
    <row r="50" spans="1:56" hidden="1" x14ac:dyDescent="0.25">
      <c r="A50" t="s">
        <v>55</v>
      </c>
      <c r="B50" t="s">
        <v>56</v>
      </c>
      <c r="C50" t="s">
        <v>112</v>
      </c>
      <c r="D50" t="s">
        <v>113</v>
      </c>
      <c r="E50" t="s">
        <v>114</v>
      </c>
      <c r="G50" t="s">
        <v>61</v>
      </c>
      <c r="H50">
        <v>1</v>
      </c>
      <c r="I50" t="s">
        <v>58</v>
      </c>
      <c r="J50">
        <v>1</v>
      </c>
      <c r="K50">
        <v>0</v>
      </c>
      <c r="L50">
        <v>80</v>
      </c>
      <c r="M50">
        <v>0</v>
      </c>
      <c r="N50" t="s">
        <v>58</v>
      </c>
      <c r="O50" t="s">
        <v>58</v>
      </c>
      <c r="P50" t="s">
        <v>58</v>
      </c>
      <c r="Q50" t="s">
        <v>58</v>
      </c>
      <c r="R50">
        <v>29200</v>
      </c>
      <c r="S50">
        <v>44</v>
      </c>
      <c r="T50" t="s">
        <v>58</v>
      </c>
      <c r="U50">
        <v>3</v>
      </c>
      <c r="V50">
        <v>1014</v>
      </c>
      <c r="W50">
        <v>16910</v>
      </c>
      <c r="X50" t="s">
        <v>58</v>
      </c>
      <c r="Y50" t="s">
        <v>58</v>
      </c>
      <c r="Z50" t="s">
        <v>58</v>
      </c>
      <c r="AA50" t="s">
        <v>58</v>
      </c>
      <c r="AB50" t="s">
        <v>58</v>
      </c>
      <c r="AC50">
        <v>3673</v>
      </c>
      <c r="AD50" t="s">
        <v>58</v>
      </c>
      <c r="AE50">
        <v>658</v>
      </c>
      <c r="AF50">
        <v>8</v>
      </c>
      <c r="AG50">
        <v>4</v>
      </c>
      <c r="AH50">
        <v>0</v>
      </c>
      <c r="AI50">
        <v>21495</v>
      </c>
      <c r="AJ50">
        <v>7856</v>
      </c>
      <c r="AK50">
        <v>68</v>
      </c>
      <c r="AL50">
        <v>782</v>
      </c>
      <c r="AM50">
        <v>1077</v>
      </c>
      <c r="AN50">
        <v>15</v>
      </c>
      <c r="AO50">
        <v>51</v>
      </c>
      <c r="AP50">
        <v>5974</v>
      </c>
      <c r="AQ50">
        <v>5436</v>
      </c>
      <c r="AR50" t="s">
        <v>58</v>
      </c>
      <c r="AS50">
        <v>20.100000000000001</v>
      </c>
      <c r="AT50" t="s">
        <v>58</v>
      </c>
      <c r="AU50">
        <v>4.8099999999999996</v>
      </c>
      <c r="AV50" t="s">
        <v>58</v>
      </c>
      <c r="AW50" t="s">
        <v>58</v>
      </c>
      <c r="AX50" t="s">
        <v>58</v>
      </c>
      <c r="AY50">
        <v>253.47</v>
      </c>
      <c r="AZ50">
        <v>108.73</v>
      </c>
      <c r="BA50">
        <v>66.17</v>
      </c>
      <c r="BB50">
        <v>20.92</v>
      </c>
      <c r="BC50">
        <v>7.45</v>
      </c>
      <c r="BD50">
        <v>14.99</v>
      </c>
    </row>
    <row r="51" spans="1:56" x14ac:dyDescent="0.25">
      <c r="A51" t="s">
        <v>55</v>
      </c>
      <c r="B51" t="s">
        <v>56</v>
      </c>
      <c r="C51" t="s">
        <v>115</v>
      </c>
      <c r="D51" t="s">
        <v>116</v>
      </c>
      <c r="E51" t="s">
        <v>115</v>
      </c>
      <c r="G51" t="s">
        <v>57</v>
      </c>
      <c r="H51" t="s">
        <v>58</v>
      </c>
      <c r="I51" t="s">
        <v>58</v>
      </c>
      <c r="J51" t="s">
        <v>58</v>
      </c>
      <c r="K51" t="s">
        <v>58</v>
      </c>
      <c r="L51">
        <v>168</v>
      </c>
      <c r="M51" t="s">
        <v>58</v>
      </c>
      <c r="N51" t="s">
        <v>58</v>
      </c>
      <c r="O51" t="s">
        <v>58</v>
      </c>
      <c r="P51" t="s">
        <v>58</v>
      </c>
      <c r="Q51">
        <v>15</v>
      </c>
      <c r="R51">
        <v>66069</v>
      </c>
      <c r="S51" t="s">
        <v>58</v>
      </c>
      <c r="T51" t="s">
        <v>58</v>
      </c>
      <c r="U51" t="s">
        <v>58</v>
      </c>
      <c r="V51">
        <v>1349</v>
      </c>
      <c r="W51">
        <v>54100</v>
      </c>
      <c r="X51" t="s">
        <v>58</v>
      </c>
      <c r="Y51" t="s">
        <v>58</v>
      </c>
      <c r="Z51" t="s">
        <v>58</v>
      </c>
      <c r="AA51" t="s">
        <v>58</v>
      </c>
      <c r="AB51">
        <v>2747</v>
      </c>
      <c r="AC51" t="s">
        <v>58</v>
      </c>
      <c r="AD51" t="s">
        <v>58</v>
      </c>
      <c r="AE51" t="s">
        <v>58</v>
      </c>
      <c r="AF51" t="s">
        <v>58</v>
      </c>
      <c r="AG51" t="s">
        <v>58</v>
      </c>
      <c r="AH51" t="s">
        <v>58</v>
      </c>
      <c r="AI51" t="s">
        <v>58</v>
      </c>
      <c r="AJ51" t="s">
        <v>58</v>
      </c>
      <c r="AK51" t="s">
        <v>58</v>
      </c>
      <c r="AL51" t="s">
        <v>58</v>
      </c>
      <c r="AM51" t="s">
        <v>58</v>
      </c>
      <c r="AN51" t="s">
        <v>58</v>
      </c>
      <c r="AO51" t="s">
        <v>58</v>
      </c>
      <c r="AP51">
        <v>910</v>
      </c>
      <c r="AQ51" t="s">
        <v>58</v>
      </c>
      <c r="AR51">
        <v>6</v>
      </c>
      <c r="AS51" t="s">
        <v>58</v>
      </c>
      <c r="AT51">
        <v>3</v>
      </c>
      <c r="AU51">
        <v>7.81</v>
      </c>
      <c r="AV51">
        <v>0</v>
      </c>
      <c r="AW51">
        <v>0</v>
      </c>
      <c r="AX51" t="s">
        <v>58</v>
      </c>
      <c r="AY51">
        <v>113.76</v>
      </c>
      <c r="AZ51">
        <v>70.760000000000005</v>
      </c>
      <c r="BA51">
        <v>19.73</v>
      </c>
      <c r="BB51">
        <v>1</v>
      </c>
      <c r="BC51" t="s">
        <v>58</v>
      </c>
      <c r="BD51">
        <v>2.35</v>
      </c>
    </row>
    <row r="52" spans="1:56" hidden="1" x14ac:dyDescent="0.25">
      <c r="A52" t="s">
        <v>55</v>
      </c>
      <c r="B52" t="s">
        <v>56</v>
      </c>
      <c r="C52" t="s">
        <v>115</v>
      </c>
      <c r="D52" t="s">
        <v>116</v>
      </c>
      <c r="E52" t="s">
        <v>115</v>
      </c>
      <c r="G52" t="s">
        <v>61</v>
      </c>
      <c r="H52">
        <v>0</v>
      </c>
      <c r="I52" t="s">
        <v>58</v>
      </c>
      <c r="J52" t="s">
        <v>58</v>
      </c>
      <c r="K52">
        <v>0</v>
      </c>
      <c r="L52">
        <v>168</v>
      </c>
      <c r="M52" t="s">
        <v>58</v>
      </c>
      <c r="N52" t="s">
        <v>58</v>
      </c>
      <c r="O52" t="s">
        <v>58</v>
      </c>
      <c r="P52" t="s">
        <v>58</v>
      </c>
      <c r="Q52">
        <v>15</v>
      </c>
      <c r="R52">
        <v>66069</v>
      </c>
      <c r="S52" t="s">
        <v>58</v>
      </c>
      <c r="T52" t="s">
        <v>58</v>
      </c>
      <c r="U52" t="s">
        <v>58</v>
      </c>
      <c r="V52">
        <v>1349</v>
      </c>
      <c r="W52">
        <v>54100</v>
      </c>
      <c r="X52" t="s">
        <v>58</v>
      </c>
      <c r="Y52" t="s">
        <v>58</v>
      </c>
      <c r="Z52" t="s">
        <v>58</v>
      </c>
      <c r="AA52" t="s">
        <v>58</v>
      </c>
      <c r="AB52">
        <v>2747</v>
      </c>
      <c r="AC52" t="s">
        <v>58</v>
      </c>
      <c r="AD52" t="s">
        <v>58</v>
      </c>
      <c r="AE52" t="s">
        <v>58</v>
      </c>
      <c r="AF52" t="s">
        <v>58</v>
      </c>
      <c r="AG52" t="s">
        <v>58</v>
      </c>
      <c r="AH52" t="s">
        <v>58</v>
      </c>
      <c r="AI52" t="s">
        <v>58</v>
      </c>
      <c r="AJ52" t="s">
        <v>58</v>
      </c>
      <c r="AK52" t="s">
        <v>58</v>
      </c>
      <c r="AL52" t="s">
        <v>58</v>
      </c>
      <c r="AM52" t="s">
        <v>58</v>
      </c>
      <c r="AN52" t="s">
        <v>58</v>
      </c>
      <c r="AO52" t="s">
        <v>58</v>
      </c>
      <c r="AP52">
        <v>910</v>
      </c>
      <c r="AQ52" t="s">
        <v>58</v>
      </c>
      <c r="AR52">
        <v>6</v>
      </c>
      <c r="AS52" t="s">
        <v>58</v>
      </c>
      <c r="AT52">
        <v>3</v>
      </c>
      <c r="AU52">
        <v>7.81</v>
      </c>
      <c r="AV52" t="s">
        <v>58</v>
      </c>
      <c r="AW52" t="s">
        <v>58</v>
      </c>
      <c r="AX52" t="s">
        <v>58</v>
      </c>
      <c r="AY52">
        <v>113.76</v>
      </c>
      <c r="AZ52">
        <v>70.760000000000005</v>
      </c>
      <c r="BA52">
        <v>19.73</v>
      </c>
      <c r="BB52">
        <v>1</v>
      </c>
      <c r="BC52" t="s">
        <v>58</v>
      </c>
      <c r="BD52">
        <v>2.35</v>
      </c>
    </row>
    <row r="53" spans="1:56" x14ac:dyDescent="0.25">
      <c r="A53" t="s">
        <v>55</v>
      </c>
      <c r="B53" t="s">
        <v>56</v>
      </c>
      <c r="C53" t="s">
        <v>117</v>
      </c>
      <c r="D53" t="s">
        <v>118</v>
      </c>
      <c r="E53" t="s">
        <v>119</v>
      </c>
      <c r="G53" t="s">
        <v>57</v>
      </c>
      <c r="H53" t="s">
        <v>58</v>
      </c>
      <c r="I53">
        <v>7</v>
      </c>
      <c r="J53" t="s">
        <v>58</v>
      </c>
      <c r="K53" t="s">
        <v>58</v>
      </c>
      <c r="L53">
        <v>212</v>
      </c>
      <c r="M53">
        <v>13</v>
      </c>
      <c r="N53">
        <v>19</v>
      </c>
      <c r="O53">
        <v>27</v>
      </c>
      <c r="P53" t="s">
        <v>58</v>
      </c>
      <c r="Q53">
        <v>15</v>
      </c>
      <c r="R53">
        <v>77380</v>
      </c>
      <c r="S53">
        <v>93</v>
      </c>
      <c r="T53">
        <v>1</v>
      </c>
      <c r="U53" t="s">
        <v>58</v>
      </c>
      <c r="V53">
        <v>1413</v>
      </c>
      <c r="W53">
        <v>66518</v>
      </c>
      <c r="X53">
        <v>2819</v>
      </c>
      <c r="Y53">
        <v>5608</v>
      </c>
      <c r="Z53">
        <v>7715</v>
      </c>
      <c r="AA53" t="s">
        <v>58</v>
      </c>
      <c r="AB53">
        <v>2833</v>
      </c>
      <c r="AC53">
        <v>13936</v>
      </c>
      <c r="AD53">
        <v>0</v>
      </c>
      <c r="AE53" t="s">
        <v>58</v>
      </c>
      <c r="AF53">
        <v>13</v>
      </c>
      <c r="AG53">
        <v>0</v>
      </c>
      <c r="AH53">
        <v>14</v>
      </c>
      <c r="AI53">
        <v>62139</v>
      </c>
      <c r="AJ53">
        <v>0</v>
      </c>
      <c r="AK53">
        <v>45773</v>
      </c>
      <c r="AL53">
        <v>2848</v>
      </c>
      <c r="AM53">
        <v>267</v>
      </c>
      <c r="AN53">
        <v>19</v>
      </c>
      <c r="AO53">
        <v>4798</v>
      </c>
      <c r="AP53">
        <v>7031</v>
      </c>
      <c r="AQ53">
        <v>5589</v>
      </c>
      <c r="AR53" t="s">
        <v>58</v>
      </c>
      <c r="AS53">
        <v>42.17</v>
      </c>
      <c r="AT53" t="s">
        <v>58</v>
      </c>
      <c r="AU53">
        <v>8.61</v>
      </c>
      <c r="AV53" t="s">
        <v>58</v>
      </c>
      <c r="AW53" t="s">
        <v>58</v>
      </c>
      <c r="AX53" t="s">
        <v>58</v>
      </c>
      <c r="AY53">
        <v>724.07</v>
      </c>
      <c r="AZ53">
        <v>434.25</v>
      </c>
      <c r="BA53">
        <v>85.53</v>
      </c>
      <c r="BB53">
        <v>31.48</v>
      </c>
      <c r="BC53">
        <v>7.74</v>
      </c>
      <c r="BD53">
        <v>58.58</v>
      </c>
    </row>
    <row r="54" spans="1:56" x14ac:dyDescent="0.25">
      <c r="A54" t="s">
        <v>55</v>
      </c>
      <c r="B54" t="s">
        <v>56</v>
      </c>
      <c r="C54" t="s">
        <v>117</v>
      </c>
      <c r="D54" t="s">
        <v>118</v>
      </c>
      <c r="E54" t="s">
        <v>119</v>
      </c>
      <c r="F54" s="273">
        <v>310780754</v>
      </c>
      <c r="G54" t="s">
        <v>59</v>
      </c>
      <c r="H54" t="s">
        <v>58</v>
      </c>
      <c r="I54">
        <v>1</v>
      </c>
      <c r="J54" t="s">
        <v>58</v>
      </c>
      <c r="K54" t="s">
        <v>58</v>
      </c>
      <c r="L54">
        <v>12</v>
      </c>
      <c r="M54" t="s">
        <v>58</v>
      </c>
      <c r="N54" t="s">
        <v>58</v>
      </c>
      <c r="O54" t="s">
        <v>58</v>
      </c>
      <c r="P54">
        <v>8</v>
      </c>
      <c r="Q54" t="s">
        <v>58</v>
      </c>
      <c r="R54">
        <v>4380</v>
      </c>
      <c r="S54">
        <v>62</v>
      </c>
      <c r="T54">
        <v>0</v>
      </c>
      <c r="U54" t="s">
        <v>58</v>
      </c>
      <c r="V54">
        <v>880</v>
      </c>
      <c r="W54">
        <v>1676</v>
      </c>
      <c r="X54" t="s">
        <v>58</v>
      </c>
      <c r="Y54" t="s">
        <v>58</v>
      </c>
      <c r="Z54" t="s">
        <v>58</v>
      </c>
      <c r="AA54">
        <v>2226</v>
      </c>
      <c r="AB54" t="s">
        <v>58</v>
      </c>
      <c r="AC54">
        <v>7943</v>
      </c>
      <c r="AD54" t="s">
        <v>58</v>
      </c>
      <c r="AE54" t="s">
        <v>58</v>
      </c>
      <c r="AF54">
        <v>5</v>
      </c>
      <c r="AG54">
        <v>0</v>
      </c>
      <c r="AH54">
        <v>3</v>
      </c>
      <c r="AI54">
        <v>13878</v>
      </c>
      <c r="AJ54">
        <v>0</v>
      </c>
      <c r="AK54">
        <v>9237</v>
      </c>
      <c r="AL54">
        <v>126</v>
      </c>
      <c r="AM54">
        <v>54</v>
      </c>
      <c r="AN54" t="s">
        <v>58</v>
      </c>
      <c r="AO54">
        <v>95</v>
      </c>
      <c r="AP54">
        <v>1592</v>
      </c>
      <c r="AQ54">
        <v>1305</v>
      </c>
      <c r="AR54" t="s">
        <v>58</v>
      </c>
      <c r="AS54">
        <v>11.35</v>
      </c>
      <c r="AT54" t="s">
        <v>58</v>
      </c>
      <c r="AU54">
        <v>1</v>
      </c>
      <c r="AV54" t="s">
        <v>58</v>
      </c>
      <c r="AW54" t="s">
        <v>58</v>
      </c>
      <c r="AX54" t="s">
        <v>58</v>
      </c>
      <c r="AY54">
        <v>151.37</v>
      </c>
      <c r="AZ54">
        <v>59.04</v>
      </c>
      <c r="BA54" t="s">
        <v>58</v>
      </c>
      <c r="BB54">
        <v>16.43</v>
      </c>
      <c r="BC54">
        <v>14.93</v>
      </c>
      <c r="BD54">
        <v>43.73</v>
      </c>
    </row>
    <row r="55" spans="1:56" x14ac:dyDescent="0.25">
      <c r="A55" t="s">
        <v>55</v>
      </c>
      <c r="B55" t="s">
        <v>56</v>
      </c>
      <c r="C55" t="s">
        <v>117</v>
      </c>
      <c r="D55" t="s">
        <v>118</v>
      </c>
      <c r="E55" t="s">
        <v>119</v>
      </c>
      <c r="F55" s="273">
        <v>310780754</v>
      </c>
      <c r="G55" t="s">
        <v>60</v>
      </c>
      <c r="H55" t="s">
        <v>58</v>
      </c>
      <c r="I55" t="s">
        <v>58</v>
      </c>
      <c r="J55" t="s">
        <v>58</v>
      </c>
      <c r="K55" t="s">
        <v>58</v>
      </c>
      <c r="L55">
        <v>40</v>
      </c>
      <c r="M55" t="s">
        <v>58</v>
      </c>
      <c r="N55" t="s">
        <v>58</v>
      </c>
      <c r="O55" t="s">
        <v>58</v>
      </c>
      <c r="P55" t="s">
        <v>58</v>
      </c>
      <c r="Q55" t="s">
        <v>58</v>
      </c>
      <c r="R55">
        <v>14600</v>
      </c>
      <c r="S55">
        <v>18</v>
      </c>
      <c r="T55" t="s">
        <v>58</v>
      </c>
      <c r="U55" t="s">
        <v>58</v>
      </c>
      <c r="V55">
        <v>325</v>
      </c>
      <c r="W55">
        <v>13948</v>
      </c>
      <c r="X55" t="s">
        <v>58</v>
      </c>
      <c r="Y55" t="s">
        <v>58</v>
      </c>
      <c r="Z55" t="s">
        <v>58</v>
      </c>
      <c r="AA55" t="s">
        <v>58</v>
      </c>
      <c r="AB55" t="s">
        <v>58</v>
      </c>
      <c r="AC55">
        <v>5273</v>
      </c>
      <c r="AD55" t="s">
        <v>58</v>
      </c>
      <c r="AE55" t="s">
        <v>58</v>
      </c>
      <c r="AF55" t="s">
        <v>58</v>
      </c>
      <c r="AG55" t="s">
        <v>58</v>
      </c>
      <c r="AH55" t="s">
        <v>58</v>
      </c>
      <c r="AI55" t="s">
        <v>58</v>
      </c>
      <c r="AJ55" t="s">
        <v>58</v>
      </c>
      <c r="AK55" t="s">
        <v>58</v>
      </c>
      <c r="AL55">
        <v>31897</v>
      </c>
      <c r="AM55" t="s">
        <v>58</v>
      </c>
      <c r="AN55" t="s">
        <v>58</v>
      </c>
      <c r="AO55" t="s">
        <v>58</v>
      </c>
      <c r="AP55">
        <v>3315</v>
      </c>
      <c r="AQ55">
        <v>3006</v>
      </c>
      <c r="AR55" t="s">
        <v>58</v>
      </c>
      <c r="AS55">
        <v>13.85</v>
      </c>
      <c r="AT55" t="s">
        <v>58</v>
      </c>
      <c r="AU55" t="s">
        <v>58</v>
      </c>
      <c r="AV55" t="s">
        <v>58</v>
      </c>
      <c r="AW55" t="s">
        <v>58</v>
      </c>
      <c r="AX55" t="s">
        <v>58</v>
      </c>
      <c r="AY55">
        <v>121.56</v>
      </c>
      <c r="AZ55">
        <v>76.150000000000006</v>
      </c>
      <c r="BA55">
        <v>14.46</v>
      </c>
      <c r="BB55">
        <v>8.68</v>
      </c>
      <c r="BC55">
        <v>2.56</v>
      </c>
      <c r="BD55">
        <v>7.35</v>
      </c>
    </row>
    <row r="56" spans="1:56" hidden="1" x14ac:dyDescent="0.25">
      <c r="A56" t="s">
        <v>55</v>
      </c>
      <c r="B56" t="s">
        <v>56</v>
      </c>
      <c r="C56" t="s">
        <v>117</v>
      </c>
      <c r="D56" t="s">
        <v>118</v>
      </c>
      <c r="E56" t="s">
        <v>119</v>
      </c>
      <c r="G56" t="s">
        <v>61</v>
      </c>
      <c r="H56">
        <v>1</v>
      </c>
      <c r="I56" t="s">
        <v>58</v>
      </c>
      <c r="J56">
        <v>8</v>
      </c>
      <c r="K56">
        <v>1</v>
      </c>
      <c r="L56">
        <v>264</v>
      </c>
      <c r="M56">
        <v>13</v>
      </c>
      <c r="N56">
        <v>19</v>
      </c>
      <c r="O56">
        <v>27</v>
      </c>
      <c r="P56">
        <v>8</v>
      </c>
      <c r="Q56">
        <v>15</v>
      </c>
      <c r="R56">
        <v>96360</v>
      </c>
      <c r="S56">
        <v>173</v>
      </c>
      <c r="T56">
        <v>1</v>
      </c>
      <c r="U56" t="s">
        <v>58</v>
      </c>
      <c r="V56">
        <v>2618</v>
      </c>
      <c r="W56">
        <v>82142</v>
      </c>
      <c r="X56">
        <v>2819</v>
      </c>
      <c r="Y56">
        <v>5608</v>
      </c>
      <c r="Z56">
        <v>7715</v>
      </c>
      <c r="AA56">
        <v>2226</v>
      </c>
      <c r="AB56">
        <v>2833</v>
      </c>
      <c r="AC56">
        <v>27152</v>
      </c>
      <c r="AD56">
        <v>0</v>
      </c>
      <c r="AE56" t="s">
        <v>58</v>
      </c>
      <c r="AF56">
        <v>18</v>
      </c>
      <c r="AG56">
        <v>0</v>
      </c>
      <c r="AH56">
        <v>17</v>
      </c>
      <c r="AI56">
        <v>76017</v>
      </c>
      <c r="AJ56">
        <v>0</v>
      </c>
      <c r="AK56">
        <v>55010</v>
      </c>
      <c r="AL56">
        <v>34871</v>
      </c>
      <c r="AM56">
        <v>321</v>
      </c>
      <c r="AN56">
        <v>19</v>
      </c>
      <c r="AO56">
        <v>4893</v>
      </c>
      <c r="AP56">
        <v>11681</v>
      </c>
      <c r="AQ56">
        <v>9712</v>
      </c>
      <c r="AR56" t="s">
        <v>58</v>
      </c>
      <c r="AS56">
        <v>67.37</v>
      </c>
      <c r="AT56" t="s">
        <v>58</v>
      </c>
      <c r="AU56">
        <v>9.61</v>
      </c>
      <c r="AV56" t="s">
        <v>58</v>
      </c>
      <c r="AW56" t="s">
        <v>58</v>
      </c>
      <c r="AX56" t="s">
        <v>58</v>
      </c>
      <c r="AY56">
        <v>997</v>
      </c>
      <c r="AZ56">
        <v>569.44000000000005</v>
      </c>
      <c r="BA56">
        <v>99.99</v>
      </c>
      <c r="BB56">
        <v>56.59</v>
      </c>
      <c r="BC56">
        <v>25.23</v>
      </c>
      <c r="BD56">
        <v>109.66</v>
      </c>
    </row>
    <row r="57" spans="1:56" x14ac:dyDescent="0.25">
      <c r="A57" t="s">
        <v>55</v>
      </c>
      <c r="B57" t="s">
        <v>56</v>
      </c>
      <c r="C57" t="s">
        <v>120</v>
      </c>
      <c r="D57" t="s">
        <v>121</v>
      </c>
      <c r="E57" t="s">
        <v>120</v>
      </c>
      <c r="G57" t="s">
        <v>57</v>
      </c>
      <c r="H57" t="s">
        <v>58</v>
      </c>
      <c r="I57" t="s">
        <v>58</v>
      </c>
      <c r="J57" t="s">
        <v>58</v>
      </c>
      <c r="K57" t="s">
        <v>58</v>
      </c>
      <c r="L57">
        <v>150</v>
      </c>
      <c r="M57" t="s">
        <v>58</v>
      </c>
      <c r="N57" t="s">
        <v>58</v>
      </c>
      <c r="O57" t="s">
        <v>58</v>
      </c>
      <c r="P57" t="s">
        <v>58</v>
      </c>
      <c r="Q57" t="s">
        <v>58</v>
      </c>
      <c r="R57">
        <v>54750</v>
      </c>
      <c r="S57">
        <v>15</v>
      </c>
      <c r="T57" t="s">
        <v>58</v>
      </c>
      <c r="U57" t="s">
        <v>58</v>
      </c>
      <c r="V57">
        <v>1671</v>
      </c>
      <c r="W57">
        <v>52882</v>
      </c>
      <c r="X57" t="s">
        <v>58</v>
      </c>
      <c r="Y57" t="s">
        <v>58</v>
      </c>
      <c r="Z57" t="s">
        <v>58</v>
      </c>
      <c r="AA57" t="s">
        <v>58</v>
      </c>
      <c r="AB57" t="s">
        <v>58</v>
      </c>
      <c r="AC57">
        <v>8003</v>
      </c>
      <c r="AD57" t="s">
        <v>58</v>
      </c>
      <c r="AE57" t="s">
        <v>58</v>
      </c>
      <c r="AF57" t="s">
        <v>58</v>
      </c>
      <c r="AG57" t="s">
        <v>58</v>
      </c>
      <c r="AH57" t="s">
        <v>58</v>
      </c>
      <c r="AI57" t="s">
        <v>58</v>
      </c>
      <c r="AJ57" t="s">
        <v>58</v>
      </c>
      <c r="AK57" t="s">
        <v>58</v>
      </c>
      <c r="AL57" t="s">
        <v>58</v>
      </c>
      <c r="AM57" t="s">
        <v>58</v>
      </c>
      <c r="AN57" t="s">
        <v>58</v>
      </c>
      <c r="AO57" t="s">
        <v>58</v>
      </c>
      <c r="AP57">
        <v>1333</v>
      </c>
      <c r="AQ57" t="s">
        <v>58</v>
      </c>
      <c r="AR57">
        <v>9</v>
      </c>
      <c r="AS57">
        <v>1.23</v>
      </c>
      <c r="AT57">
        <v>2</v>
      </c>
      <c r="AU57">
        <v>4.62</v>
      </c>
      <c r="AV57">
        <v>1</v>
      </c>
      <c r="AW57">
        <v>1</v>
      </c>
      <c r="AX57">
        <v>5</v>
      </c>
      <c r="AY57">
        <v>81.73</v>
      </c>
      <c r="AZ57">
        <v>51.55</v>
      </c>
      <c r="BA57">
        <v>2.64</v>
      </c>
      <c r="BB57">
        <v>2.25</v>
      </c>
      <c r="BC57">
        <v>4.17</v>
      </c>
      <c r="BD57">
        <v>1.56</v>
      </c>
    </row>
    <row r="58" spans="1:56" hidden="1" x14ac:dyDescent="0.25">
      <c r="A58" t="s">
        <v>55</v>
      </c>
      <c r="B58" t="s">
        <v>56</v>
      </c>
      <c r="C58" t="s">
        <v>120</v>
      </c>
      <c r="D58" t="s">
        <v>121</v>
      </c>
      <c r="E58" t="s">
        <v>120</v>
      </c>
      <c r="G58" t="s">
        <v>61</v>
      </c>
      <c r="H58">
        <v>0</v>
      </c>
      <c r="I58" t="s">
        <v>58</v>
      </c>
      <c r="J58" t="s">
        <v>58</v>
      </c>
      <c r="K58">
        <v>0</v>
      </c>
      <c r="L58">
        <v>150</v>
      </c>
      <c r="M58" t="s">
        <v>58</v>
      </c>
      <c r="N58" t="s">
        <v>58</v>
      </c>
      <c r="O58" t="s">
        <v>58</v>
      </c>
      <c r="P58" t="s">
        <v>58</v>
      </c>
      <c r="Q58" t="s">
        <v>58</v>
      </c>
      <c r="R58">
        <v>54750</v>
      </c>
      <c r="S58">
        <v>15</v>
      </c>
      <c r="T58" t="s">
        <v>58</v>
      </c>
      <c r="U58" t="s">
        <v>58</v>
      </c>
      <c r="V58">
        <v>1671</v>
      </c>
      <c r="W58">
        <v>52882</v>
      </c>
      <c r="X58" t="s">
        <v>58</v>
      </c>
      <c r="Y58" t="s">
        <v>58</v>
      </c>
      <c r="Z58" t="s">
        <v>58</v>
      </c>
      <c r="AA58" t="s">
        <v>58</v>
      </c>
      <c r="AB58" t="s">
        <v>58</v>
      </c>
      <c r="AC58">
        <v>8003</v>
      </c>
      <c r="AD58" t="s">
        <v>58</v>
      </c>
      <c r="AE58" t="s">
        <v>58</v>
      </c>
      <c r="AF58" t="s">
        <v>58</v>
      </c>
      <c r="AG58" t="s">
        <v>58</v>
      </c>
      <c r="AH58" t="s">
        <v>58</v>
      </c>
      <c r="AI58" t="s">
        <v>58</v>
      </c>
      <c r="AJ58" t="s">
        <v>58</v>
      </c>
      <c r="AK58" t="s">
        <v>58</v>
      </c>
      <c r="AL58" t="s">
        <v>58</v>
      </c>
      <c r="AM58" t="s">
        <v>58</v>
      </c>
      <c r="AN58" t="s">
        <v>58</v>
      </c>
      <c r="AO58" t="s">
        <v>58</v>
      </c>
      <c r="AP58">
        <v>1333</v>
      </c>
      <c r="AQ58" t="s">
        <v>58</v>
      </c>
      <c r="AR58">
        <v>9</v>
      </c>
      <c r="AS58">
        <v>1.23</v>
      </c>
      <c r="AT58">
        <v>2</v>
      </c>
      <c r="AU58">
        <v>4.62</v>
      </c>
      <c r="AV58" t="s">
        <v>58</v>
      </c>
      <c r="AW58" t="s">
        <v>58</v>
      </c>
      <c r="AX58">
        <v>5</v>
      </c>
      <c r="AY58">
        <v>81.73</v>
      </c>
      <c r="AZ58">
        <v>51.55</v>
      </c>
      <c r="BA58">
        <v>2.64</v>
      </c>
      <c r="BB58">
        <v>2.25</v>
      </c>
      <c r="BC58">
        <v>4.17</v>
      </c>
      <c r="BD58">
        <v>1.56</v>
      </c>
    </row>
    <row r="59" spans="1:56" s="108" customFormat="1" x14ac:dyDescent="0.25">
      <c r="A59" s="108" t="s">
        <v>55</v>
      </c>
      <c r="B59" s="108" t="s">
        <v>56</v>
      </c>
      <c r="C59" s="108" t="s">
        <v>122</v>
      </c>
      <c r="D59" s="108" t="s">
        <v>123</v>
      </c>
      <c r="E59" s="108" t="s">
        <v>124</v>
      </c>
      <c r="F59" s="283">
        <v>820005908</v>
      </c>
      <c r="G59" s="108" t="s">
        <v>59</v>
      </c>
      <c r="H59" s="108" t="s">
        <v>58</v>
      </c>
      <c r="I59" s="108">
        <v>1</v>
      </c>
      <c r="J59" s="108" t="s">
        <v>58</v>
      </c>
      <c r="K59" s="108" t="s">
        <v>58</v>
      </c>
      <c r="L59" s="108" t="s">
        <v>58</v>
      </c>
      <c r="M59" s="108" t="s">
        <v>58</v>
      </c>
      <c r="N59" s="108" t="s">
        <v>58</v>
      </c>
      <c r="O59" s="108" t="s">
        <v>58</v>
      </c>
      <c r="P59" s="108" t="s">
        <v>58</v>
      </c>
      <c r="Q59" s="108" t="s">
        <v>58</v>
      </c>
      <c r="R59" s="108" t="s">
        <v>58</v>
      </c>
      <c r="S59" s="108" t="s">
        <v>58</v>
      </c>
      <c r="T59" s="108" t="s">
        <v>58</v>
      </c>
      <c r="U59" s="108" t="s">
        <v>58</v>
      </c>
      <c r="V59" s="108" t="s">
        <v>58</v>
      </c>
      <c r="W59" s="108" t="s">
        <v>58</v>
      </c>
      <c r="X59" s="108" t="s">
        <v>58</v>
      </c>
      <c r="Y59" s="108" t="s">
        <v>58</v>
      </c>
      <c r="Z59" s="108" t="s">
        <v>58</v>
      </c>
      <c r="AA59" s="108" t="s">
        <v>58</v>
      </c>
      <c r="AB59" s="108" t="s">
        <v>58</v>
      </c>
      <c r="AC59" s="108" t="s">
        <v>58</v>
      </c>
      <c r="AD59" s="108" t="s">
        <v>58</v>
      </c>
      <c r="AE59" s="108" t="s">
        <v>58</v>
      </c>
      <c r="AF59" s="108">
        <v>1</v>
      </c>
      <c r="AG59" s="108" t="s">
        <v>58</v>
      </c>
      <c r="AH59" s="108" t="s">
        <v>58</v>
      </c>
      <c r="AI59" s="108">
        <v>1694</v>
      </c>
      <c r="AJ59" s="108" t="s">
        <v>58</v>
      </c>
      <c r="AK59" s="108" t="s">
        <v>58</v>
      </c>
      <c r="AL59" s="108" t="s">
        <v>58</v>
      </c>
      <c r="AM59" s="108" t="s">
        <v>58</v>
      </c>
      <c r="AN59" s="108" t="s">
        <v>58</v>
      </c>
      <c r="AO59" s="108" t="s">
        <v>58</v>
      </c>
      <c r="AP59" s="108">
        <v>116</v>
      </c>
      <c r="AQ59" s="108">
        <v>116</v>
      </c>
      <c r="AR59" s="108" t="s">
        <v>58</v>
      </c>
      <c r="AS59" s="108">
        <v>0.11</v>
      </c>
      <c r="AT59" s="108" t="s">
        <v>58</v>
      </c>
      <c r="AU59" s="108" t="s">
        <v>58</v>
      </c>
      <c r="AV59" s="108">
        <v>0</v>
      </c>
      <c r="AW59" s="108">
        <v>0</v>
      </c>
      <c r="AX59" s="108" t="s">
        <v>58</v>
      </c>
      <c r="AY59" s="108">
        <v>3.23</v>
      </c>
      <c r="AZ59" s="108">
        <v>1</v>
      </c>
      <c r="BA59" s="108" t="s">
        <v>58</v>
      </c>
      <c r="BB59" s="108">
        <v>1.25</v>
      </c>
      <c r="BC59" s="108">
        <v>0.24</v>
      </c>
      <c r="BD59" s="108">
        <v>0.5</v>
      </c>
    </row>
    <row r="60" spans="1:56" hidden="1" x14ac:dyDescent="0.25">
      <c r="A60" t="s">
        <v>55</v>
      </c>
      <c r="B60" t="s">
        <v>56</v>
      </c>
      <c r="C60" t="s">
        <v>122</v>
      </c>
      <c r="D60" t="s">
        <v>123</v>
      </c>
      <c r="E60" t="s">
        <v>124</v>
      </c>
      <c r="G60" t="s">
        <v>61</v>
      </c>
      <c r="H60">
        <v>1</v>
      </c>
      <c r="I60" t="s">
        <v>58</v>
      </c>
      <c r="J60" t="s">
        <v>58</v>
      </c>
      <c r="K60">
        <v>0</v>
      </c>
      <c r="L60" t="s">
        <v>58</v>
      </c>
      <c r="M60" t="s">
        <v>58</v>
      </c>
      <c r="N60" t="s">
        <v>58</v>
      </c>
      <c r="O60" t="s">
        <v>58</v>
      </c>
      <c r="P60" t="s">
        <v>58</v>
      </c>
      <c r="Q60" t="s">
        <v>58</v>
      </c>
      <c r="R60" t="s">
        <v>58</v>
      </c>
      <c r="S60" t="s">
        <v>58</v>
      </c>
      <c r="T60" t="s">
        <v>58</v>
      </c>
      <c r="U60" t="s">
        <v>58</v>
      </c>
      <c r="V60" t="s">
        <v>58</v>
      </c>
      <c r="W60" t="s">
        <v>58</v>
      </c>
      <c r="X60" t="s">
        <v>58</v>
      </c>
      <c r="Y60" t="s">
        <v>58</v>
      </c>
      <c r="Z60" t="s">
        <v>58</v>
      </c>
      <c r="AA60" t="s">
        <v>58</v>
      </c>
      <c r="AB60" t="s">
        <v>58</v>
      </c>
      <c r="AC60" t="s">
        <v>58</v>
      </c>
      <c r="AD60" t="s">
        <v>58</v>
      </c>
      <c r="AE60" t="s">
        <v>58</v>
      </c>
      <c r="AF60">
        <v>1</v>
      </c>
      <c r="AG60" t="s">
        <v>58</v>
      </c>
      <c r="AH60" t="s">
        <v>58</v>
      </c>
      <c r="AI60">
        <v>1694</v>
      </c>
      <c r="AJ60" t="s">
        <v>58</v>
      </c>
      <c r="AK60" t="s">
        <v>58</v>
      </c>
      <c r="AL60" t="s">
        <v>58</v>
      </c>
      <c r="AM60" t="s">
        <v>58</v>
      </c>
      <c r="AN60" t="s">
        <v>58</v>
      </c>
      <c r="AO60" t="s">
        <v>58</v>
      </c>
      <c r="AP60">
        <v>116</v>
      </c>
      <c r="AQ60">
        <v>116</v>
      </c>
      <c r="AR60" t="s">
        <v>58</v>
      </c>
      <c r="AS60">
        <v>0.11</v>
      </c>
      <c r="AT60" t="s">
        <v>58</v>
      </c>
      <c r="AU60" t="s">
        <v>58</v>
      </c>
      <c r="AV60" t="s">
        <v>58</v>
      </c>
      <c r="AW60" t="s">
        <v>58</v>
      </c>
      <c r="AX60" t="s">
        <v>58</v>
      </c>
      <c r="AY60">
        <v>3.23</v>
      </c>
      <c r="AZ60">
        <v>1</v>
      </c>
      <c r="BA60" t="s">
        <v>58</v>
      </c>
      <c r="BB60">
        <v>1.25</v>
      </c>
      <c r="BC60">
        <v>0.24</v>
      </c>
      <c r="BD60">
        <v>0.5</v>
      </c>
    </row>
    <row r="61" spans="1:56" x14ac:dyDescent="0.25">
      <c r="A61" t="s">
        <v>55</v>
      </c>
      <c r="B61" t="s">
        <v>56</v>
      </c>
      <c r="C61" t="s">
        <v>125</v>
      </c>
      <c r="D61" t="s">
        <v>126</v>
      </c>
      <c r="E61" t="s">
        <v>127</v>
      </c>
      <c r="G61" t="s">
        <v>57</v>
      </c>
      <c r="H61" t="s">
        <v>58</v>
      </c>
      <c r="I61">
        <v>1</v>
      </c>
      <c r="J61" t="s">
        <v>58</v>
      </c>
      <c r="K61" t="s">
        <v>58</v>
      </c>
      <c r="L61">
        <v>141</v>
      </c>
      <c r="M61" t="s">
        <v>58</v>
      </c>
      <c r="N61" t="s">
        <v>58</v>
      </c>
      <c r="O61" t="s">
        <v>58</v>
      </c>
      <c r="P61" t="s">
        <v>58</v>
      </c>
      <c r="Q61" t="s">
        <v>58</v>
      </c>
      <c r="R61">
        <v>51465</v>
      </c>
      <c r="S61">
        <v>64</v>
      </c>
      <c r="T61" t="s">
        <v>58</v>
      </c>
      <c r="U61" t="s">
        <v>58</v>
      </c>
      <c r="V61">
        <v>1321</v>
      </c>
      <c r="W61">
        <v>45322</v>
      </c>
      <c r="X61" t="s">
        <v>58</v>
      </c>
      <c r="Y61" t="s">
        <v>58</v>
      </c>
      <c r="Z61" t="s">
        <v>58</v>
      </c>
      <c r="AA61" t="s">
        <v>58</v>
      </c>
      <c r="AB61" t="s">
        <v>58</v>
      </c>
      <c r="AC61">
        <v>1251</v>
      </c>
      <c r="AD61" t="s">
        <v>58</v>
      </c>
      <c r="AE61" t="s">
        <v>58</v>
      </c>
      <c r="AF61" t="s">
        <v>58</v>
      </c>
      <c r="AG61" t="s">
        <v>58</v>
      </c>
      <c r="AH61" t="s">
        <v>58</v>
      </c>
      <c r="AI61" t="s">
        <v>58</v>
      </c>
      <c r="AJ61" t="s">
        <v>58</v>
      </c>
      <c r="AK61" t="s">
        <v>58</v>
      </c>
      <c r="AL61" t="s">
        <v>58</v>
      </c>
      <c r="AM61" t="s">
        <v>58</v>
      </c>
      <c r="AN61" t="s">
        <v>58</v>
      </c>
      <c r="AO61" t="s">
        <v>58</v>
      </c>
      <c r="AP61">
        <v>862</v>
      </c>
      <c r="AQ61" t="s">
        <v>58</v>
      </c>
      <c r="AR61">
        <v>8</v>
      </c>
      <c r="AS61">
        <v>0.2</v>
      </c>
      <c r="AT61">
        <v>1</v>
      </c>
      <c r="AU61">
        <v>5.0199999999999996</v>
      </c>
      <c r="AV61" t="s">
        <v>58</v>
      </c>
      <c r="AW61" t="s">
        <v>58</v>
      </c>
      <c r="AX61">
        <v>9</v>
      </c>
      <c r="AY61">
        <v>57.95</v>
      </c>
      <c r="AZ61">
        <v>41.8</v>
      </c>
      <c r="BA61">
        <v>12.05</v>
      </c>
      <c r="BB61">
        <v>0.5</v>
      </c>
      <c r="BC61">
        <v>2.4</v>
      </c>
      <c r="BD61">
        <v>1</v>
      </c>
    </row>
    <row r="62" spans="1:56" hidden="1" x14ac:dyDescent="0.25">
      <c r="A62" t="s">
        <v>55</v>
      </c>
      <c r="B62" t="s">
        <v>56</v>
      </c>
      <c r="C62" t="s">
        <v>125</v>
      </c>
      <c r="D62" t="s">
        <v>126</v>
      </c>
      <c r="E62" t="s">
        <v>127</v>
      </c>
      <c r="G62" t="s">
        <v>61</v>
      </c>
      <c r="H62">
        <v>1</v>
      </c>
      <c r="I62" t="s">
        <v>58</v>
      </c>
      <c r="J62" t="s">
        <v>58</v>
      </c>
      <c r="K62">
        <v>0</v>
      </c>
      <c r="L62">
        <v>141</v>
      </c>
      <c r="M62" t="s">
        <v>58</v>
      </c>
      <c r="N62" t="s">
        <v>58</v>
      </c>
      <c r="O62" t="s">
        <v>58</v>
      </c>
      <c r="P62" t="s">
        <v>58</v>
      </c>
      <c r="Q62" t="s">
        <v>58</v>
      </c>
      <c r="R62">
        <v>51465</v>
      </c>
      <c r="S62">
        <v>64</v>
      </c>
      <c r="T62" t="s">
        <v>58</v>
      </c>
      <c r="U62" t="s">
        <v>58</v>
      </c>
      <c r="V62">
        <v>1321</v>
      </c>
      <c r="W62">
        <v>45322</v>
      </c>
      <c r="X62" t="s">
        <v>58</v>
      </c>
      <c r="Y62" t="s">
        <v>58</v>
      </c>
      <c r="Z62" t="s">
        <v>58</v>
      </c>
      <c r="AA62" t="s">
        <v>58</v>
      </c>
      <c r="AB62" t="s">
        <v>58</v>
      </c>
      <c r="AC62">
        <v>1251</v>
      </c>
      <c r="AD62" t="s">
        <v>58</v>
      </c>
      <c r="AE62" t="s">
        <v>58</v>
      </c>
      <c r="AF62" t="s">
        <v>58</v>
      </c>
      <c r="AG62" t="s">
        <v>58</v>
      </c>
      <c r="AH62" t="s">
        <v>58</v>
      </c>
      <c r="AI62" t="s">
        <v>58</v>
      </c>
      <c r="AJ62" t="s">
        <v>58</v>
      </c>
      <c r="AK62" t="s">
        <v>58</v>
      </c>
      <c r="AL62" t="s">
        <v>58</v>
      </c>
      <c r="AM62" t="s">
        <v>58</v>
      </c>
      <c r="AN62" t="s">
        <v>58</v>
      </c>
      <c r="AO62" t="s">
        <v>58</v>
      </c>
      <c r="AP62">
        <v>862</v>
      </c>
      <c r="AQ62" t="s">
        <v>58</v>
      </c>
      <c r="AR62">
        <v>8</v>
      </c>
      <c r="AS62">
        <v>0.2</v>
      </c>
      <c r="AT62">
        <v>1</v>
      </c>
      <c r="AU62">
        <v>5.0199999999999996</v>
      </c>
      <c r="AV62" t="s">
        <v>58</v>
      </c>
      <c r="AW62" t="s">
        <v>58</v>
      </c>
      <c r="AX62">
        <v>9</v>
      </c>
      <c r="AY62">
        <v>57.95</v>
      </c>
      <c r="AZ62">
        <v>41.8</v>
      </c>
      <c r="BA62">
        <v>12.05</v>
      </c>
      <c r="BB62">
        <v>0.5</v>
      </c>
      <c r="BC62">
        <v>2.4</v>
      </c>
      <c r="BD62">
        <v>1</v>
      </c>
    </row>
    <row r="63" spans="1:56" x14ac:dyDescent="0.25">
      <c r="A63" t="s">
        <v>55</v>
      </c>
      <c r="B63" t="s">
        <v>56</v>
      </c>
      <c r="C63" t="s">
        <v>128</v>
      </c>
      <c r="D63" t="s">
        <v>129</v>
      </c>
      <c r="E63" t="s">
        <v>83</v>
      </c>
      <c r="G63" t="s">
        <v>57</v>
      </c>
      <c r="H63" t="s">
        <v>58</v>
      </c>
      <c r="I63" t="s">
        <v>58</v>
      </c>
      <c r="J63" t="s">
        <v>58</v>
      </c>
      <c r="K63" t="s">
        <v>58</v>
      </c>
      <c r="L63">
        <v>242</v>
      </c>
      <c r="M63" t="s">
        <v>58</v>
      </c>
      <c r="N63" t="s">
        <v>58</v>
      </c>
      <c r="O63" t="s">
        <v>58</v>
      </c>
      <c r="P63" t="s">
        <v>58</v>
      </c>
      <c r="Q63" t="s">
        <v>58</v>
      </c>
      <c r="R63">
        <v>88330</v>
      </c>
      <c r="S63">
        <v>26</v>
      </c>
      <c r="T63" t="s">
        <v>58</v>
      </c>
      <c r="U63" t="s">
        <v>58</v>
      </c>
      <c r="V63">
        <v>2292</v>
      </c>
      <c r="W63">
        <v>87612</v>
      </c>
      <c r="X63" t="s">
        <v>58</v>
      </c>
      <c r="Y63" t="s">
        <v>58</v>
      </c>
      <c r="Z63" t="s">
        <v>58</v>
      </c>
      <c r="AA63" t="s">
        <v>58</v>
      </c>
      <c r="AB63" t="s">
        <v>58</v>
      </c>
      <c r="AC63">
        <v>6154</v>
      </c>
      <c r="AD63" t="s">
        <v>58</v>
      </c>
      <c r="AE63" t="s">
        <v>58</v>
      </c>
      <c r="AF63" t="s">
        <v>58</v>
      </c>
      <c r="AG63" t="s">
        <v>58</v>
      </c>
      <c r="AH63" t="s">
        <v>58</v>
      </c>
      <c r="AI63" t="s">
        <v>58</v>
      </c>
      <c r="AJ63" t="s">
        <v>58</v>
      </c>
      <c r="AK63" t="s">
        <v>58</v>
      </c>
      <c r="AL63" t="s">
        <v>58</v>
      </c>
      <c r="AM63" t="s">
        <v>58</v>
      </c>
      <c r="AN63" t="s">
        <v>58</v>
      </c>
      <c r="AO63" t="s">
        <v>58</v>
      </c>
      <c r="AP63">
        <v>1976</v>
      </c>
      <c r="AQ63" t="s">
        <v>58</v>
      </c>
      <c r="AR63">
        <v>11</v>
      </c>
      <c r="AS63">
        <v>1.5</v>
      </c>
      <c r="AT63">
        <v>1</v>
      </c>
      <c r="AU63">
        <v>3.96</v>
      </c>
      <c r="AV63">
        <v>0</v>
      </c>
      <c r="AW63">
        <v>0</v>
      </c>
      <c r="AX63" t="s">
        <v>58</v>
      </c>
      <c r="AY63">
        <v>137.43</v>
      </c>
      <c r="AZ63">
        <v>71.44</v>
      </c>
      <c r="BA63">
        <v>17.440000000000001</v>
      </c>
      <c r="BB63">
        <v>7.97</v>
      </c>
      <c r="BC63">
        <v>4.2</v>
      </c>
      <c r="BD63">
        <v>4.26</v>
      </c>
    </row>
    <row r="64" spans="1:56" x14ac:dyDescent="0.25">
      <c r="A64" t="s">
        <v>55</v>
      </c>
      <c r="B64" t="s">
        <v>56</v>
      </c>
      <c r="C64" t="s">
        <v>128</v>
      </c>
      <c r="D64" t="s">
        <v>129</v>
      </c>
      <c r="E64" t="s">
        <v>83</v>
      </c>
      <c r="F64" s="273">
        <v>310780143</v>
      </c>
      <c r="G64" t="s">
        <v>59</v>
      </c>
      <c r="H64" t="s">
        <v>58</v>
      </c>
      <c r="I64" t="s">
        <v>58</v>
      </c>
      <c r="J64" t="s">
        <v>58</v>
      </c>
      <c r="K64" t="s">
        <v>58</v>
      </c>
      <c r="L64">
        <v>13</v>
      </c>
      <c r="M64" t="s">
        <v>58</v>
      </c>
      <c r="N64" t="s">
        <v>58</v>
      </c>
      <c r="O64" t="s">
        <v>58</v>
      </c>
      <c r="P64" t="s">
        <v>58</v>
      </c>
      <c r="Q64" t="s">
        <v>58</v>
      </c>
      <c r="R64">
        <v>4745</v>
      </c>
      <c r="S64" t="s">
        <v>58</v>
      </c>
      <c r="T64" t="s">
        <v>58</v>
      </c>
      <c r="U64" t="s">
        <v>58</v>
      </c>
      <c r="V64">
        <v>161</v>
      </c>
      <c r="W64">
        <v>4618</v>
      </c>
      <c r="X64" t="s">
        <v>58</v>
      </c>
      <c r="Y64" t="s">
        <v>58</v>
      </c>
      <c r="Z64" t="s">
        <v>58</v>
      </c>
      <c r="AA64" t="s">
        <v>58</v>
      </c>
      <c r="AB64" t="s">
        <v>58</v>
      </c>
      <c r="AC64" t="s">
        <v>58</v>
      </c>
      <c r="AD64" t="s">
        <v>58</v>
      </c>
      <c r="AE64" t="s">
        <v>58</v>
      </c>
      <c r="AF64" t="s">
        <v>58</v>
      </c>
      <c r="AG64" t="s">
        <v>58</v>
      </c>
      <c r="AH64" t="s">
        <v>58</v>
      </c>
      <c r="AI64" t="s">
        <v>58</v>
      </c>
      <c r="AJ64" t="s">
        <v>58</v>
      </c>
      <c r="AK64" t="s">
        <v>58</v>
      </c>
      <c r="AL64" t="s">
        <v>58</v>
      </c>
      <c r="AM64" t="s">
        <v>58</v>
      </c>
      <c r="AN64" t="s">
        <v>58</v>
      </c>
      <c r="AO64" t="s">
        <v>58</v>
      </c>
      <c r="AP64">
        <v>112</v>
      </c>
      <c r="AQ64" t="s">
        <v>58</v>
      </c>
      <c r="AR64" t="s">
        <v>58</v>
      </c>
      <c r="AS64">
        <v>2.5</v>
      </c>
      <c r="AT64" t="s">
        <v>58</v>
      </c>
      <c r="AU64" t="s">
        <v>58</v>
      </c>
      <c r="AV64">
        <v>0</v>
      </c>
      <c r="AW64">
        <v>0</v>
      </c>
      <c r="AX64" t="s">
        <v>58</v>
      </c>
      <c r="AY64">
        <v>13.2</v>
      </c>
      <c r="AZ64">
        <v>6</v>
      </c>
      <c r="BA64">
        <v>2</v>
      </c>
      <c r="BB64">
        <v>1.2</v>
      </c>
      <c r="BC64" t="s">
        <v>58</v>
      </c>
      <c r="BD64">
        <v>5</v>
      </c>
    </row>
    <row r="65" spans="1:56" hidden="1" x14ac:dyDescent="0.25">
      <c r="A65" t="s">
        <v>55</v>
      </c>
      <c r="B65" t="s">
        <v>56</v>
      </c>
      <c r="C65" t="s">
        <v>128</v>
      </c>
      <c r="D65" t="s">
        <v>129</v>
      </c>
      <c r="E65" t="s">
        <v>83</v>
      </c>
      <c r="G65" t="s">
        <v>61</v>
      </c>
      <c r="H65">
        <v>0</v>
      </c>
      <c r="I65" t="s">
        <v>58</v>
      </c>
      <c r="J65" t="s">
        <v>58</v>
      </c>
      <c r="K65">
        <v>0</v>
      </c>
      <c r="L65">
        <v>255</v>
      </c>
      <c r="M65" t="s">
        <v>58</v>
      </c>
      <c r="N65" t="s">
        <v>58</v>
      </c>
      <c r="O65" t="s">
        <v>58</v>
      </c>
      <c r="P65" t="s">
        <v>58</v>
      </c>
      <c r="Q65" t="s">
        <v>58</v>
      </c>
      <c r="R65">
        <v>93075</v>
      </c>
      <c r="S65">
        <v>26</v>
      </c>
      <c r="T65" t="s">
        <v>58</v>
      </c>
      <c r="U65" t="s">
        <v>58</v>
      </c>
      <c r="V65">
        <v>2453</v>
      </c>
      <c r="W65">
        <v>92230</v>
      </c>
      <c r="X65" t="s">
        <v>58</v>
      </c>
      <c r="Y65" t="s">
        <v>58</v>
      </c>
      <c r="Z65" t="s">
        <v>58</v>
      </c>
      <c r="AA65" t="s">
        <v>58</v>
      </c>
      <c r="AB65" t="s">
        <v>58</v>
      </c>
      <c r="AC65">
        <v>6154</v>
      </c>
      <c r="AD65" t="s">
        <v>58</v>
      </c>
      <c r="AE65" t="s">
        <v>58</v>
      </c>
      <c r="AF65" t="s">
        <v>58</v>
      </c>
      <c r="AG65" t="s">
        <v>58</v>
      </c>
      <c r="AH65" t="s">
        <v>58</v>
      </c>
      <c r="AI65" t="s">
        <v>58</v>
      </c>
      <c r="AJ65" t="s">
        <v>58</v>
      </c>
      <c r="AK65" t="s">
        <v>58</v>
      </c>
      <c r="AL65" t="s">
        <v>58</v>
      </c>
      <c r="AM65" t="s">
        <v>58</v>
      </c>
      <c r="AN65" t="s">
        <v>58</v>
      </c>
      <c r="AO65" t="s">
        <v>58</v>
      </c>
      <c r="AP65">
        <v>2062</v>
      </c>
      <c r="AQ65" t="s">
        <v>58</v>
      </c>
      <c r="AR65">
        <v>11</v>
      </c>
      <c r="AS65">
        <v>4</v>
      </c>
      <c r="AT65">
        <v>1</v>
      </c>
      <c r="AU65">
        <v>3.96</v>
      </c>
      <c r="AV65" t="s">
        <v>58</v>
      </c>
      <c r="AW65" t="s">
        <v>58</v>
      </c>
      <c r="AX65" t="s">
        <v>58</v>
      </c>
      <c r="AY65">
        <v>150.63</v>
      </c>
      <c r="AZ65">
        <v>77.44</v>
      </c>
      <c r="BA65">
        <v>19.440000000000001</v>
      </c>
      <c r="BB65">
        <v>9.17</v>
      </c>
      <c r="BC65">
        <v>4.2</v>
      </c>
      <c r="BD65">
        <v>9.26</v>
      </c>
    </row>
    <row r="66" spans="1:56" x14ac:dyDescent="0.25">
      <c r="A66" t="s">
        <v>55</v>
      </c>
      <c r="B66" t="s">
        <v>56</v>
      </c>
      <c r="C66" t="s">
        <v>130</v>
      </c>
      <c r="D66" t="s">
        <v>131</v>
      </c>
      <c r="E66" t="s">
        <v>132</v>
      </c>
      <c r="G66" t="s">
        <v>57</v>
      </c>
      <c r="H66" t="s">
        <v>58</v>
      </c>
      <c r="I66" t="s">
        <v>58</v>
      </c>
      <c r="J66" t="s">
        <v>58</v>
      </c>
      <c r="K66" t="s">
        <v>58</v>
      </c>
      <c r="L66">
        <v>100</v>
      </c>
      <c r="M66" t="s">
        <v>58</v>
      </c>
      <c r="N66" t="s">
        <v>58</v>
      </c>
      <c r="O66" t="s">
        <v>58</v>
      </c>
      <c r="P66" t="s">
        <v>58</v>
      </c>
      <c r="Q66" t="s">
        <v>58</v>
      </c>
      <c r="R66">
        <v>36500</v>
      </c>
      <c r="S66">
        <v>6</v>
      </c>
      <c r="T66" t="s">
        <v>58</v>
      </c>
      <c r="U66">
        <v>1</v>
      </c>
      <c r="V66">
        <v>1322</v>
      </c>
      <c r="W66">
        <v>35875</v>
      </c>
      <c r="X66" t="s">
        <v>58</v>
      </c>
      <c r="Y66" t="s">
        <v>58</v>
      </c>
      <c r="Z66" t="s">
        <v>58</v>
      </c>
      <c r="AA66" t="s">
        <v>58</v>
      </c>
      <c r="AB66" t="s">
        <v>58</v>
      </c>
      <c r="AC66">
        <v>1225</v>
      </c>
      <c r="AD66" t="s">
        <v>58</v>
      </c>
      <c r="AE66">
        <v>1031</v>
      </c>
      <c r="AF66" t="s">
        <v>58</v>
      </c>
      <c r="AG66" t="s">
        <v>58</v>
      </c>
      <c r="AH66" t="s">
        <v>58</v>
      </c>
      <c r="AI66" t="s">
        <v>58</v>
      </c>
      <c r="AJ66" t="s">
        <v>58</v>
      </c>
      <c r="AK66" t="s">
        <v>58</v>
      </c>
      <c r="AL66" t="s">
        <v>58</v>
      </c>
      <c r="AM66" t="s">
        <v>58</v>
      </c>
      <c r="AN66" t="s">
        <v>58</v>
      </c>
      <c r="AO66" t="s">
        <v>58</v>
      </c>
      <c r="AP66">
        <v>839</v>
      </c>
      <c r="AQ66" t="s">
        <v>58</v>
      </c>
      <c r="AR66">
        <v>5</v>
      </c>
      <c r="AS66" t="s">
        <v>58</v>
      </c>
      <c r="AT66">
        <v>3</v>
      </c>
      <c r="AU66">
        <v>1.2</v>
      </c>
      <c r="AV66" t="s">
        <v>58</v>
      </c>
      <c r="AW66" t="s">
        <v>58</v>
      </c>
      <c r="AX66">
        <v>2</v>
      </c>
      <c r="AY66">
        <v>43.84</v>
      </c>
      <c r="AZ66">
        <v>29.58</v>
      </c>
      <c r="BA66">
        <v>11.12</v>
      </c>
      <c r="BB66">
        <v>2.14</v>
      </c>
      <c r="BC66">
        <v>0</v>
      </c>
      <c r="BD66">
        <v>1</v>
      </c>
    </row>
    <row r="67" spans="1:56" hidden="1" x14ac:dyDescent="0.25">
      <c r="A67" t="s">
        <v>55</v>
      </c>
      <c r="B67" t="s">
        <v>56</v>
      </c>
      <c r="C67" t="s">
        <v>130</v>
      </c>
      <c r="D67" t="s">
        <v>131</v>
      </c>
      <c r="E67" t="s">
        <v>132</v>
      </c>
      <c r="G67" t="s">
        <v>61</v>
      </c>
      <c r="H67">
        <v>0</v>
      </c>
      <c r="I67" t="s">
        <v>58</v>
      </c>
      <c r="J67" t="s">
        <v>58</v>
      </c>
      <c r="K67">
        <v>0</v>
      </c>
      <c r="L67">
        <v>100</v>
      </c>
      <c r="M67" t="s">
        <v>58</v>
      </c>
      <c r="N67" t="s">
        <v>58</v>
      </c>
      <c r="O67" t="s">
        <v>58</v>
      </c>
      <c r="P67" t="s">
        <v>58</v>
      </c>
      <c r="Q67" t="s">
        <v>58</v>
      </c>
      <c r="R67">
        <v>36500</v>
      </c>
      <c r="S67">
        <v>6</v>
      </c>
      <c r="T67" t="s">
        <v>58</v>
      </c>
      <c r="U67">
        <v>1</v>
      </c>
      <c r="V67">
        <v>1322</v>
      </c>
      <c r="W67">
        <v>35875</v>
      </c>
      <c r="X67" t="s">
        <v>58</v>
      </c>
      <c r="Y67" t="s">
        <v>58</v>
      </c>
      <c r="Z67" t="s">
        <v>58</v>
      </c>
      <c r="AA67" t="s">
        <v>58</v>
      </c>
      <c r="AB67" t="s">
        <v>58</v>
      </c>
      <c r="AC67">
        <v>1225</v>
      </c>
      <c r="AD67" t="s">
        <v>58</v>
      </c>
      <c r="AE67">
        <v>1031</v>
      </c>
      <c r="AF67" t="s">
        <v>58</v>
      </c>
      <c r="AG67" t="s">
        <v>58</v>
      </c>
      <c r="AH67" t="s">
        <v>58</v>
      </c>
      <c r="AI67" t="s">
        <v>58</v>
      </c>
      <c r="AJ67" t="s">
        <v>58</v>
      </c>
      <c r="AK67" t="s">
        <v>58</v>
      </c>
      <c r="AL67" t="s">
        <v>58</v>
      </c>
      <c r="AM67" t="s">
        <v>58</v>
      </c>
      <c r="AN67" t="s">
        <v>58</v>
      </c>
      <c r="AO67" t="s">
        <v>58</v>
      </c>
      <c r="AP67">
        <v>839</v>
      </c>
      <c r="AQ67" t="s">
        <v>58</v>
      </c>
      <c r="AR67">
        <v>5</v>
      </c>
      <c r="AS67" t="s">
        <v>58</v>
      </c>
      <c r="AT67">
        <v>3</v>
      </c>
      <c r="AU67">
        <v>1.2</v>
      </c>
      <c r="AV67" t="s">
        <v>58</v>
      </c>
      <c r="AW67" t="s">
        <v>58</v>
      </c>
      <c r="AX67">
        <v>2</v>
      </c>
      <c r="AY67">
        <v>43.84</v>
      </c>
      <c r="AZ67">
        <v>29.58</v>
      </c>
      <c r="BA67">
        <v>11.12</v>
      </c>
      <c r="BB67">
        <v>2.14</v>
      </c>
      <c r="BC67">
        <v>0</v>
      </c>
      <c r="BD67">
        <v>1</v>
      </c>
    </row>
    <row r="68" spans="1:56" x14ac:dyDescent="0.25">
      <c r="A68" t="s">
        <v>55</v>
      </c>
      <c r="B68" t="s">
        <v>56</v>
      </c>
      <c r="C68" t="s">
        <v>133</v>
      </c>
      <c r="D68" t="s">
        <v>134</v>
      </c>
      <c r="E68" t="s">
        <v>135</v>
      </c>
      <c r="G68" t="s">
        <v>57</v>
      </c>
      <c r="H68" t="s">
        <v>58</v>
      </c>
      <c r="I68" t="s">
        <v>58</v>
      </c>
      <c r="J68" t="s">
        <v>58</v>
      </c>
      <c r="K68" t="s">
        <v>58</v>
      </c>
      <c r="L68">
        <v>125</v>
      </c>
      <c r="M68" t="s">
        <v>58</v>
      </c>
      <c r="N68" t="s">
        <v>58</v>
      </c>
      <c r="O68" t="s">
        <v>58</v>
      </c>
      <c r="P68" t="s">
        <v>58</v>
      </c>
      <c r="Q68" t="s">
        <v>58</v>
      </c>
      <c r="R68">
        <v>45625</v>
      </c>
      <c r="S68">
        <v>5</v>
      </c>
      <c r="T68" t="s">
        <v>58</v>
      </c>
      <c r="U68" t="s">
        <v>58</v>
      </c>
      <c r="V68">
        <v>1164</v>
      </c>
      <c r="W68">
        <v>44879</v>
      </c>
      <c r="X68" t="s">
        <v>58</v>
      </c>
      <c r="Y68" t="s">
        <v>58</v>
      </c>
      <c r="Z68" t="s">
        <v>58</v>
      </c>
      <c r="AA68" t="s">
        <v>58</v>
      </c>
      <c r="AB68" t="s">
        <v>58</v>
      </c>
      <c r="AC68">
        <v>9254</v>
      </c>
      <c r="AD68" t="s">
        <v>58</v>
      </c>
      <c r="AE68" t="s">
        <v>58</v>
      </c>
      <c r="AF68" t="s">
        <v>58</v>
      </c>
      <c r="AG68" t="s">
        <v>58</v>
      </c>
      <c r="AH68" t="s">
        <v>58</v>
      </c>
      <c r="AI68" t="s">
        <v>58</v>
      </c>
      <c r="AJ68" t="s">
        <v>58</v>
      </c>
      <c r="AK68" t="s">
        <v>58</v>
      </c>
      <c r="AL68" t="s">
        <v>58</v>
      </c>
      <c r="AM68" t="s">
        <v>58</v>
      </c>
      <c r="AN68" t="s">
        <v>58</v>
      </c>
      <c r="AO68" t="s">
        <v>58</v>
      </c>
      <c r="AP68">
        <v>1631</v>
      </c>
      <c r="AQ68" t="s">
        <v>58</v>
      </c>
      <c r="AR68">
        <v>8</v>
      </c>
      <c r="AS68" t="s">
        <v>58</v>
      </c>
      <c r="AT68" t="s">
        <v>58</v>
      </c>
      <c r="AU68" t="s">
        <v>58</v>
      </c>
      <c r="AV68">
        <v>0</v>
      </c>
      <c r="AW68">
        <v>1</v>
      </c>
      <c r="AX68" t="s">
        <v>58</v>
      </c>
      <c r="AY68">
        <v>68.31</v>
      </c>
      <c r="AZ68">
        <v>48.62</v>
      </c>
      <c r="BA68">
        <v>15.9</v>
      </c>
      <c r="BB68">
        <v>0.9</v>
      </c>
      <c r="BC68" t="s">
        <v>58</v>
      </c>
      <c r="BD68">
        <v>3</v>
      </c>
    </row>
    <row r="69" spans="1:56" hidden="1" x14ac:dyDescent="0.25">
      <c r="A69" t="s">
        <v>55</v>
      </c>
      <c r="B69" t="s">
        <v>56</v>
      </c>
      <c r="C69" t="s">
        <v>133</v>
      </c>
      <c r="D69" t="s">
        <v>134</v>
      </c>
      <c r="E69" t="s">
        <v>135</v>
      </c>
      <c r="G69" t="s">
        <v>61</v>
      </c>
      <c r="H69">
        <v>0</v>
      </c>
      <c r="I69" t="s">
        <v>58</v>
      </c>
      <c r="J69" t="s">
        <v>58</v>
      </c>
      <c r="K69">
        <v>0</v>
      </c>
      <c r="L69">
        <v>125</v>
      </c>
      <c r="M69" t="s">
        <v>58</v>
      </c>
      <c r="N69" t="s">
        <v>58</v>
      </c>
      <c r="O69" t="s">
        <v>58</v>
      </c>
      <c r="P69" t="s">
        <v>58</v>
      </c>
      <c r="Q69" t="s">
        <v>58</v>
      </c>
      <c r="R69">
        <v>45625</v>
      </c>
      <c r="S69">
        <v>5</v>
      </c>
      <c r="T69" t="s">
        <v>58</v>
      </c>
      <c r="U69" t="s">
        <v>58</v>
      </c>
      <c r="V69">
        <v>1164</v>
      </c>
      <c r="W69">
        <v>44879</v>
      </c>
      <c r="X69" t="s">
        <v>58</v>
      </c>
      <c r="Y69" t="s">
        <v>58</v>
      </c>
      <c r="Z69" t="s">
        <v>58</v>
      </c>
      <c r="AA69" t="s">
        <v>58</v>
      </c>
      <c r="AB69" t="s">
        <v>58</v>
      </c>
      <c r="AC69">
        <v>9254</v>
      </c>
      <c r="AD69" t="s">
        <v>58</v>
      </c>
      <c r="AE69" t="s">
        <v>58</v>
      </c>
      <c r="AF69" t="s">
        <v>58</v>
      </c>
      <c r="AG69" t="s">
        <v>58</v>
      </c>
      <c r="AH69" t="s">
        <v>58</v>
      </c>
      <c r="AI69" t="s">
        <v>58</v>
      </c>
      <c r="AJ69" t="s">
        <v>58</v>
      </c>
      <c r="AK69" t="s">
        <v>58</v>
      </c>
      <c r="AL69" t="s">
        <v>58</v>
      </c>
      <c r="AM69" t="s">
        <v>58</v>
      </c>
      <c r="AN69" t="s">
        <v>58</v>
      </c>
      <c r="AO69" t="s">
        <v>58</v>
      </c>
      <c r="AP69">
        <v>1631</v>
      </c>
      <c r="AQ69" t="s">
        <v>58</v>
      </c>
      <c r="AR69">
        <v>8</v>
      </c>
      <c r="AS69" t="s">
        <v>58</v>
      </c>
      <c r="AT69" t="s">
        <v>58</v>
      </c>
      <c r="AU69" t="s">
        <v>58</v>
      </c>
      <c r="AV69" t="s">
        <v>58</v>
      </c>
      <c r="AW69" t="s">
        <v>58</v>
      </c>
      <c r="AX69" t="s">
        <v>58</v>
      </c>
      <c r="AY69">
        <v>68.31</v>
      </c>
      <c r="AZ69">
        <v>48.62</v>
      </c>
      <c r="BA69">
        <v>15.9</v>
      </c>
      <c r="BB69">
        <v>0.9</v>
      </c>
      <c r="BC69" t="s">
        <v>58</v>
      </c>
      <c r="BD69">
        <v>3</v>
      </c>
    </row>
    <row r="70" spans="1:56" x14ac:dyDescent="0.25">
      <c r="A70" t="s">
        <v>55</v>
      </c>
      <c r="B70" t="s">
        <v>56</v>
      </c>
      <c r="C70" t="s">
        <v>136</v>
      </c>
      <c r="D70" t="s">
        <v>137</v>
      </c>
      <c r="E70" t="s">
        <v>138</v>
      </c>
      <c r="G70" t="s">
        <v>57</v>
      </c>
      <c r="H70" t="s">
        <v>58</v>
      </c>
      <c r="I70" t="s">
        <v>58</v>
      </c>
      <c r="J70" t="s">
        <v>58</v>
      </c>
      <c r="K70" t="s">
        <v>58</v>
      </c>
      <c r="L70">
        <v>188</v>
      </c>
      <c r="M70" t="s">
        <v>58</v>
      </c>
      <c r="N70" t="s">
        <v>58</v>
      </c>
      <c r="O70" t="s">
        <v>58</v>
      </c>
      <c r="P70" t="s">
        <v>58</v>
      </c>
      <c r="Q70" t="s">
        <v>58</v>
      </c>
      <c r="R70">
        <v>68620</v>
      </c>
      <c r="S70">
        <v>5</v>
      </c>
      <c r="T70" t="s">
        <v>58</v>
      </c>
      <c r="U70" t="s">
        <v>58</v>
      </c>
      <c r="V70">
        <v>1523</v>
      </c>
      <c r="W70">
        <v>51623</v>
      </c>
      <c r="X70" t="s">
        <v>58</v>
      </c>
      <c r="Y70" t="s">
        <v>58</v>
      </c>
      <c r="Z70" t="s">
        <v>58</v>
      </c>
      <c r="AA70" t="s">
        <v>58</v>
      </c>
      <c r="AB70" t="s">
        <v>58</v>
      </c>
      <c r="AC70">
        <v>3353</v>
      </c>
      <c r="AD70" t="s">
        <v>58</v>
      </c>
      <c r="AE70" t="s">
        <v>58</v>
      </c>
      <c r="AF70" t="s">
        <v>58</v>
      </c>
      <c r="AG70" t="s">
        <v>58</v>
      </c>
      <c r="AH70" t="s">
        <v>58</v>
      </c>
      <c r="AI70" t="s">
        <v>58</v>
      </c>
      <c r="AJ70" t="s">
        <v>58</v>
      </c>
      <c r="AK70" t="s">
        <v>58</v>
      </c>
      <c r="AL70" t="s">
        <v>58</v>
      </c>
      <c r="AM70" t="s">
        <v>58</v>
      </c>
      <c r="AN70" t="s">
        <v>58</v>
      </c>
      <c r="AO70" t="s">
        <v>58</v>
      </c>
      <c r="AP70">
        <v>1381</v>
      </c>
      <c r="AQ70" t="s">
        <v>58</v>
      </c>
      <c r="AR70">
        <v>6</v>
      </c>
      <c r="AS70">
        <v>1.64</v>
      </c>
      <c r="AT70" t="s">
        <v>58</v>
      </c>
      <c r="AU70">
        <v>2.21</v>
      </c>
      <c r="AV70">
        <v>0</v>
      </c>
      <c r="AW70">
        <v>0</v>
      </c>
      <c r="AX70" t="s">
        <v>58</v>
      </c>
      <c r="AY70">
        <v>79.09</v>
      </c>
      <c r="AZ70">
        <v>43.58</v>
      </c>
      <c r="BA70">
        <v>9.67</v>
      </c>
      <c r="BB70">
        <v>3.54</v>
      </c>
      <c r="BC70">
        <v>3.37</v>
      </c>
      <c r="BD70">
        <v>1.25</v>
      </c>
    </row>
    <row r="71" spans="1:56" hidden="1" x14ac:dyDescent="0.25">
      <c r="A71" t="s">
        <v>55</v>
      </c>
      <c r="B71" t="s">
        <v>56</v>
      </c>
      <c r="C71" t="s">
        <v>136</v>
      </c>
      <c r="D71" t="s">
        <v>137</v>
      </c>
      <c r="E71" t="s">
        <v>138</v>
      </c>
      <c r="G71" t="s">
        <v>61</v>
      </c>
      <c r="H71">
        <v>0</v>
      </c>
      <c r="I71" t="s">
        <v>58</v>
      </c>
      <c r="J71" t="s">
        <v>58</v>
      </c>
      <c r="K71">
        <v>0</v>
      </c>
      <c r="L71">
        <v>188</v>
      </c>
      <c r="M71" t="s">
        <v>58</v>
      </c>
      <c r="N71" t="s">
        <v>58</v>
      </c>
      <c r="O71" t="s">
        <v>58</v>
      </c>
      <c r="P71" t="s">
        <v>58</v>
      </c>
      <c r="Q71" t="s">
        <v>58</v>
      </c>
      <c r="R71">
        <v>68620</v>
      </c>
      <c r="S71">
        <v>5</v>
      </c>
      <c r="T71" t="s">
        <v>58</v>
      </c>
      <c r="U71" t="s">
        <v>58</v>
      </c>
      <c r="V71">
        <v>1523</v>
      </c>
      <c r="W71">
        <v>51623</v>
      </c>
      <c r="X71" t="s">
        <v>58</v>
      </c>
      <c r="Y71" t="s">
        <v>58</v>
      </c>
      <c r="Z71" t="s">
        <v>58</v>
      </c>
      <c r="AA71" t="s">
        <v>58</v>
      </c>
      <c r="AB71" t="s">
        <v>58</v>
      </c>
      <c r="AC71">
        <v>3353</v>
      </c>
      <c r="AD71" t="s">
        <v>58</v>
      </c>
      <c r="AE71" t="s">
        <v>58</v>
      </c>
      <c r="AF71" t="s">
        <v>58</v>
      </c>
      <c r="AG71" t="s">
        <v>58</v>
      </c>
      <c r="AH71" t="s">
        <v>58</v>
      </c>
      <c r="AI71" t="s">
        <v>58</v>
      </c>
      <c r="AJ71" t="s">
        <v>58</v>
      </c>
      <c r="AK71" t="s">
        <v>58</v>
      </c>
      <c r="AL71" t="s">
        <v>58</v>
      </c>
      <c r="AM71" t="s">
        <v>58</v>
      </c>
      <c r="AN71" t="s">
        <v>58</v>
      </c>
      <c r="AO71" t="s">
        <v>58</v>
      </c>
      <c r="AP71">
        <v>1381</v>
      </c>
      <c r="AQ71" t="s">
        <v>58</v>
      </c>
      <c r="AR71">
        <v>6</v>
      </c>
      <c r="AS71">
        <v>1.64</v>
      </c>
      <c r="AT71" t="s">
        <v>58</v>
      </c>
      <c r="AU71">
        <v>2.21</v>
      </c>
      <c r="AV71" t="s">
        <v>58</v>
      </c>
      <c r="AW71" t="s">
        <v>58</v>
      </c>
      <c r="AX71" t="s">
        <v>58</v>
      </c>
      <c r="AY71">
        <v>79.09</v>
      </c>
      <c r="AZ71">
        <v>43.58</v>
      </c>
      <c r="BA71">
        <v>9.67</v>
      </c>
      <c r="BB71">
        <v>3.54</v>
      </c>
      <c r="BC71">
        <v>3.37</v>
      </c>
      <c r="BD71">
        <v>1.25</v>
      </c>
    </row>
    <row r="72" spans="1:56" x14ac:dyDescent="0.25">
      <c r="A72" t="s">
        <v>55</v>
      </c>
      <c r="B72" t="s">
        <v>56</v>
      </c>
      <c r="C72" t="s">
        <v>139</v>
      </c>
      <c r="D72" t="s">
        <v>140</v>
      </c>
      <c r="E72" t="s">
        <v>141</v>
      </c>
      <c r="G72" t="s">
        <v>57</v>
      </c>
      <c r="H72" t="s">
        <v>58</v>
      </c>
      <c r="I72" t="s">
        <v>58</v>
      </c>
      <c r="J72" t="s">
        <v>58</v>
      </c>
      <c r="K72" t="s">
        <v>58</v>
      </c>
      <c r="L72" t="s">
        <v>58</v>
      </c>
      <c r="M72" t="s">
        <v>58</v>
      </c>
      <c r="N72" t="s">
        <v>58</v>
      </c>
      <c r="O72" t="s">
        <v>58</v>
      </c>
      <c r="P72" t="s">
        <v>58</v>
      </c>
      <c r="Q72" t="s">
        <v>58</v>
      </c>
      <c r="R72" t="s">
        <v>58</v>
      </c>
      <c r="S72">
        <v>55</v>
      </c>
      <c r="T72">
        <v>0</v>
      </c>
      <c r="U72" t="s">
        <v>58</v>
      </c>
      <c r="V72" t="s">
        <v>58</v>
      </c>
      <c r="W72" t="s">
        <v>58</v>
      </c>
      <c r="X72" t="s">
        <v>58</v>
      </c>
      <c r="Y72" t="s">
        <v>58</v>
      </c>
      <c r="Z72" t="s">
        <v>58</v>
      </c>
      <c r="AA72" t="s">
        <v>58</v>
      </c>
      <c r="AB72" t="s">
        <v>58</v>
      </c>
      <c r="AC72">
        <v>12236</v>
      </c>
      <c r="AD72" t="s">
        <v>58</v>
      </c>
      <c r="AE72" t="s">
        <v>58</v>
      </c>
      <c r="AF72" t="s">
        <v>58</v>
      </c>
      <c r="AG72" t="s">
        <v>58</v>
      </c>
      <c r="AH72" t="s">
        <v>58</v>
      </c>
      <c r="AI72" t="s">
        <v>58</v>
      </c>
      <c r="AJ72" t="s">
        <v>58</v>
      </c>
      <c r="AK72" t="s">
        <v>58</v>
      </c>
      <c r="AL72" t="s">
        <v>58</v>
      </c>
      <c r="AM72" t="s">
        <v>58</v>
      </c>
      <c r="AN72" t="s">
        <v>58</v>
      </c>
      <c r="AO72" t="s">
        <v>58</v>
      </c>
      <c r="AP72">
        <v>86</v>
      </c>
      <c r="AQ72">
        <v>86</v>
      </c>
      <c r="AR72" t="s">
        <v>58</v>
      </c>
      <c r="AS72">
        <v>0.6</v>
      </c>
      <c r="AT72" t="s">
        <v>58</v>
      </c>
      <c r="AU72">
        <v>0</v>
      </c>
      <c r="AV72">
        <v>0</v>
      </c>
      <c r="AW72">
        <v>0</v>
      </c>
      <c r="AX72">
        <v>0</v>
      </c>
      <c r="AY72">
        <v>10</v>
      </c>
      <c r="AZ72">
        <v>7</v>
      </c>
      <c r="BA72">
        <v>0</v>
      </c>
      <c r="BB72">
        <v>1</v>
      </c>
      <c r="BC72">
        <v>1</v>
      </c>
      <c r="BD72">
        <v>1</v>
      </c>
    </row>
    <row r="73" spans="1:56" hidden="1" x14ac:dyDescent="0.25">
      <c r="A73" s="93" t="s">
        <v>55</v>
      </c>
      <c r="B73" s="93" t="s">
        <v>56</v>
      </c>
      <c r="C73" s="96">
        <v>310781158</v>
      </c>
      <c r="D73" s="90" t="s">
        <v>277</v>
      </c>
      <c r="E73" s="96">
        <v>310781158</v>
      </c>
      <c r="F73" s="96">
        <v>310781158</v>
      </c>
      <c r="G73" t="s">
        <v>61</v>
      </c>
      <c r="L73">
        <v>129</v>
      </c>
      <c r="R73">
        <v>21900</v>
      </c>
      <c r="S73">
        <v>10</v>
      </c>
    </row>
    <row r="74" spans="1:56" hidden="1" x14ac:dyDescent="0.25">
      <c r="A74" t="s">
        <v>55</v>
      </c>
      <c r="B74" t="s">
        <v>56</v>
      </c>
      <c r="C74" t="s">
        <v>139</v>
      </c>
      <c r="D74" t="s">
        <v>140</v>
      </c>
      <c r="E74" t="s">
        <v>141</v>
      </c>
      <c r="G74" t="s">
        <v>61</v>
      </c>
      <c r="H74">
        <v>0</v>
      </c>
      <c r="I74" t="s">
        <v>58</v>
      </c>
      <c r="J74" t="s">
        <v>58</v>
      </c>
      <c r="K74">
        <v>0</v>
      </c>
      <c r="L74" t="s">
        <v>58</v>
      </c>
      <c r="M74" t="s">
        <v>58</v>
      </c>
      <c r="N74" t="s">
        <v>58</v>
      </c>
      <c r="O74" t="s">
        <v>58</v>
      </c>
      <c r="P74" t="s">
        <v>58</v>
      </c>
      <c r="Q74" t="s">
        <v>58</v>
      </c>
      <c r="R74" t="s">
        <v>58</v>
      </c>
      <c r="S74">
        <v>55</v>
      </c>
      <c r="T74">
        <v>0</v>
      </c>
      <c r="U74" t="s">
        <v>58</v>
      </c>
      <c r="V74" t="s">
        <v>58</v>
      </c>
      <c r="W74" t="s">
        <v>58</v>
      </c>
      <c r="X74" t="s">
        <v>58</v>
      </c>
      <c r="Y74" t="s">
        <v>58</v>
      </c>
      <c r="Z74" t="s">
        <v>58</v>
      </c>
      <c r="AA74" t="s">
        <v>58</v>
      </c>
      <c r="AB74" t="s">
        <v>58</v>
      </c>
      <c r="AC74">
        <v>12236</v>
      </c>
      <c r="AD74" t="s">
        <v>58</v>
      </c>
      <c r="AE74" t="s">
        <v>58</v>
      </c>
      <c r="AF74" t="s">
        <v>58</v>
      </c>
      <c r="AG74" t="s">
        <v>58</v>
      </c>
      <c r="AH74" t="s">
        <v>58</v>
      </c>
      <c r="AI74" t="s">
        <v>58</v>
      </c>
      <c r="AJ74" t="s">
        <v>58</v>
      </c>
      <c r="AK74" t="s">
        <v>58</v>
      </c>
      <c r="AL74" t="s">
        <v>58</v>
      </c>
      <c r="AM74" t="s">
        <v>58</v>
      </c>
      <c r="AN74" t="s">
        <v>58</v>
      </c>
      <c r="AO74" t="s">
        <v>58</v>
      </c>
      <c r="AP74">
        <v>86</v>
      </c>
      <c r="AQ74">
        <v>86</v>
      </c>
      <c r="AR74" t="s">
        <v>58</v>
      </c>
      <c r="AS74">
        <v>0.6</v>
      </c>
      <c r="AT74" t="s">
        <v>58</v>
      </c>
      <c r="AU74">
        <v>0</v>
      </c>
      <c r="AV74" t="s">
        <v>58</v>
      </c>
      <c r="AW74" t="s">
        <v>58</v>
      </c>
      <c r="AX74">
        <v>0</v>
      </c>
      <c r="AY74">
        <v>10</v>
      </c>
      <c r="AZ74">
        <v>7</v>
      </c>
      <c r="BA74">
        <v>0</v>
      </c>
      <c r="BB74">
        <v>1</v>
      </c>
      <c r="BC74">
        <v>1</v>
      </c>
      <c r="BD74">
        <v>1</v>
      </c>
    </row>
    <row r="75" spans="1:56" x14ac:dyDescent="0.25">
      <c r="A75" t="s">
        <v>55</v>
      </c>
      <c r="B75" t="s">
        <v>56</v>
      </c>
      <c r="C75" t="s">
        <v>142</v>
      </c>
      <c r="D75" t="s">
        <v>143</v>
      </c>
      <c r="E75" t="s">
        <v>142</v>
      </c>
      <c r="F75" s="279">
        <v>310780895</v>
      </c>
      <c r="G75" t="s">
        <v>59</v>
      </c>
      <c r="H75" t="s">
        <v>58</v>
      </c>
      <c r="I75">
        <v>1</v>
      </c>
      <c r="J75" t="s">
        <v>58</v>
      </c>
      <c r="K75" t="s">
        <v>58</v>
      </c>
      <c r="L75" t="s">
        <v>58</v>
      </c>
      <c r="M75" t="s">
        <v>58</v>
      </c>
      <c r="N75" t="s">
        <v>58</v>
      </c>
      <c r="O75" t="s">
        <v>58</v>
      </c>
      <c r="P75" t="s">
        <v>58</v>
      </c>
      <c r="Q75" t="s">
        <v>58</v>
      </c>
      <c r="R75" t="s">
        <v>58</v>
      </c>
      <c r="S75">
        <v>90</v>
      </c>
      <c r="T75" t="s">
        <v>58</v>
      </c>
      <c r="U75" t="s">
        <v>58</v>
      </c>
      <c r="V75" t="s">
        <v>58</v>
      </c>
      <c r="W75" t="s">
        <v>58</v>
      </c>
      <c r="X75" t="s">
        <v>58</v>
      </c>
      <c r="Y75" t="s">
        <v>58</v>
      </c>
      <c r="Z75" t="s">
        <v>58</v>
      </c>
      <c r="AA75" t="s">
        <v>58</v>
      </c>
      <c r="AB75" t="s">
        <v>58</v>
      </c>
      <c r="AC75">
        <v>7280</v>
      </c>
      <c r="AD75" t="s">
        <v>58</v>
      </c>
      <c r="AE75" t="s">
        <v>58</v>
      </c>
      <c r="AF75">
        <v>12</v>
      </c>
      <c r="AG75">
        <v>3</v>
      </c>
      <c r="AH75">
        <v>6</v>
      </c>
      <c r="AI75">
        <v>33892</v>
      </c>
      <c r="AJ75">
        <v>1929</v>
      </c>
      <c r="AK75">
        <v>12998</v>
      </c>
      <c r="AL75">
        <v>153</v>
      </c>
      <c r="AM75">
        <v>27</v>
      </c>
      <c r="AN75">
        <v>1961</v>
      </c>
      <c r="AO75">
        <v>149</v>
      </c>
      <c r="AP75">
        <v>3912</v>
      </c>
      <c r="AQ75">
        <v>3881</v>
      </c>
      <c r="AR75">
        <v>24</v>
      </c>
      <c r="AS75">
        <v>13.26</v>
      </c>
      <c r="AT75" t="s">
        <v>58</v>
      </c>
      <c r="AU75" t="s">
        <v>58</v>
      </c>
      <c r="AV75">
        <v>1</v>
      </c>
      <c r="AW75">
        <v>1</v>
      </c>
      <c r="AX75">
        <v>2</v>
      </c>
      <c r="AY75">
        <v>113.63</v>
      </c>
      <c r="AZ75">
        <v>27.22</v>
      </c>
      <c r="BA75">
        <v>0</v>
      </c>
      <c r="BB75">
        <v>16.59</v>
      </c>
      <c r="BC75">
        <v>17.04</v>
      </c>
      <c r="BD75">
        <v>52.78</v>
      </c>
    </row>
    <row r="76" spans="1:56" hidden="1" x14ac:dyDescent="0.25">
      <c r="A76" t="s">
        <v>55</v>
      </c>
      <c r="B76" t="s">
        <v>56</v>
      </c>
      <c r="C76" t="s">
        <v>142</v>
      </c>
      <c r="D76" t="s">
        <v>143</v>
      </c>
      <c r="E76" t="s">
        <v>142</v>
      </c>
      <c r="G76" t="s">
        <v>61</v>
      </c>
      <c r="H76">
        <v>1</v>
      </c>
      <c r="I76" t="s">
        <v>58</v>
      </c>
      <c r="J76">
        <v>1</v>
      </c>
      <c r="K76">
        <v>0</v>
      </c>
      <c r="L76" t="s">
        <v>58</v>
      </c>
      <c r="M76" t="s">
        <v>58</v>
      </c>
      <c r="N76" t="s">
        <v>58</v>
      </c>
      <c r="O76" t="s">
        <v>58</v>
      </c>
      <c r="P76" t="s">
        <v>58</v>
      </c>
      <c r="Q76" t="s">
        <v>58</v>
      </c>
      <c r="R76" t="s">
        <v>58</v>
      </c>
      <c r="S76">
        <v>90</v>
      </c>
      <c r="T76" t="s">
        <v>58</v>
      </c>
      <c r="U76" t="s">
        <v>58</v>
      </c>
      <c r="V76" t="s">
        <v>58</v>
      </c>
      <c r="W76" t="s">
        <v>58</v>
      </c>
      <c r="X76" t="s">
        <v>58</v>
      </c>
      <c r="Y76" t="s">
        <v>58</v>
      </c>
      <c r="Z76" t="s">
        <v>58</v>
      </c>
      <c r="AA76" t="s">
        <v>58</v>
      </c>
      <c r="AB76" t="s">
        <v>58</v>
      </c>
      <c r="AC76">
        <v>7280</v>
      </c>
      <c r="AD76" t="s">
        <v>58</v>
      </c>
      <c r="AE76" t="s">
        <v>58</v>
      </c>
      <c r="AF76">
        <v>12</v>
      </c>
      <c r="AG76">
        <v>3</v>
      </c>
      <c r="AH76">
        <v>6</v>
      </c>
      <c r="AI76">
        <v>33892</v>
      </c>
      <c r="AJ76">
        <v>1929</v>
      </c>
      <c r="AK76">
        <v>12998</v>
      </c>
      <c r="AL76">
        <v>153</v>
      </c>
      <c r="AM76">
        <v>27</v>
      </c>
      <c r="AN76">
        <v>1961</v>
      </c>
      <c r="AO76">
        <v>149</v>
      </c>
      <c r="AP76">
        <v>3912</v>
      </c>
      <c r="AQ76">
        <v>3881</v>
      </c>
      <c r="AR76">
        <v>24</v>
      </c>
      <c r="AS76">
        <v>13.26</v>
      </c>
      <c r="AT76" t="s">
        <v>58</v>
      </c>
      <c r="AU76" t="s">
        <v>58</v>
      </c>
      <c r="AV76" t="s">
        <v>58</v>
      </c>
      <c r="AW76" t="s">
        <v>58</v>
      </c>
      <c r="AX76">
        <v>2</v>
      </c>
      <c r="AY76">
        <v>113.63</v>
      </c>
      <c r="AZ76">
        <v>27.22</v>
      </c>
      <c r="BA76">
        <v>0</v>
      </c>
      <c r="BB76">
        <v>16.59</v>
      </c>
      <c r="BC76">
        <v>17.04</v>
      </c>
      <c r="BD76">
        <v>52.78</v>
      </c>
    </row>
    <row r="77" spans="1:56" x14ac:dyDescent="0.25">
      <c r="A77" t="s">
        <v>55</v>
      </c>
      <c r="B77" t="s">
        <v>56</v>
      </c>
      <c r="C77" t="s">
        <v>144</v>
      </c>
      <c r="D77" t="s">
        <v>145</v>
      </c>
      <c r="E77" t="s">
        <v>146</v>
      </c>
      <c r="G77" t="s">
        <v>57</v>
      </c>
      <c r="H77" t="s">
        <v>58</v>
      </c>
      <c r="I77">
        <v>1</v>
      </c>
      <c r="J77" t="s">
        <v>58</v>
      </c>
      <c r="K77" t="s">
        <v>58</v>
      </c>
      <c r="L77">
        <v>88</v>
      </c>
      <c r="M77" t="s">
        <v>58</v>
      </c>
      <c r="N77" t="s">
        <v>58</v>
      </c>
      <c r="O77" t="s">
        <v>58</v>
      </c>
      <c r="P77" t="s">
        <v>58</v>
      </c>
      <c r="Q77" t="s">
        <v>58</v>
      </c>
      <c r="R77">
        <v>32102</v>
      </c>
      <c r="S77">
        <v>25</v>
      </c>
      <c r="T77" t="s">
        <v>58</v>
      </c>
      <c r="U77" t="s">
        <v>58</v>
      </c>
      <c r="V77">
        <v>1108</v>
      </c>
      <c r="W77">
        <v>29184</v>
      </c>
      <c r="X77" t="s">
        <v>58</v>
      </c>
      <c r="Y77" t="s">
        <v>58</v>
      </c>
      <c r="Z77" t="s">
        <v>58</v>
      </c>
      <c r="AA77" t="s">
        <v>58</v>
      </c>
      <c r="AB77" t="s">
        <v>58</v>
      </c>
      <c r="AC77">
        <v>2956</v>
      </c>
      <c r="AD77" t="s">
        <v>58</v>
      </c>
      <c r="AE77" t="s">
        <v>58</v>
      </c>
      <c r="AF77">
        <v>1</v>
      </c>
      <c r="AG77">
        <v>3</v>
      </c>
      <c r="AH77" t="s">
        <v>58</v>
      </c>
      <c r="AI77">
        <v>9145</v>
      </c>
      <c r="AJ77">
        <v>16581</v>
      </c>
      <c r="AK77" t="s">
        <v>58</v>
      </c>
      <c r="AL77">
        <v>204</v>
      </c>
      <c r="AM77" t="s">
        <v>58</v>
      </c>
      <c r="AN77">
        <v>2481</v>
      </c>
      <c r="AO77" t="s">
        <v>58</v>
      </c>
      <c r="AP77">
        <v>5926</v>
      </c>
      <c r="AQ77">
        <v>5045</v>
      </c>
      <c r="AR77" t="s">
        <v>58</v>
      </c>
      <c r="AS77">
        <v>36.07</v>
      </c>
      <c r="AT77" t="s">
        <v>58</v>
      </c>
      <c r="AU77" t="s">
        <v>58</v>
      </c>
      <c r="AV77">
        <v>1</v>
      </c>
      <c r="AW77" t="s">
        <v>58</v>
      </c>
      <c r="AX77" t="s">
        <v>58</v>
      </c>
      <c r="AY77" t="s">
        <v>58</v>
      </c>
      <c r="AZ77" t="s">
        <v>58</v>
      </c>
      <c r="BA77" t="s">
        <v>58</v>
      </c>
      <c r="BB77" t="s">
        <v>58</v>
      </c>
      <c r="BC77" t="s">
        <v>58</v>
      </c>
      <c r="BD77" t="s">
        <v>58</v>
      </c>
    </row>
    <row r="78" spans="1:56" x14ac:dyDescent="0.25">
      <c r="A78" t="s">
        <v>55</v>
      </c>
      <c r="B78" t="s">
        <v>56</v>
      </c>
      <c r="C78" t="s">
        <v>144</v>
      </c>
      <c r="D78" t="s">
        <v>145</v>
      </c>
      <c r="E78" t="s">
        <v>146</v>
      </c>
      <c r="F78" s="273">
        <v>310781406</v>
      </c>
      <c r="G78" t="s">
        <v>59</v>
      </c>
      <c r="H78" t="s">
        <v>58</v>
      </c>
      <c r="I78">
        <v>1</v>
      </c>
      <c r="J78" t="s">
        <v>58</v>
      </c>
      <c r="K78" t="s">
        <v>58</v>
      </c>
      <c r="L78">
        <v>11</v>
      </c>
      <c r="M78" t="s">
        <v>58</v>
      </c>
      <c r="N78" t="s">
        <v>58</v>
      </c>
      <c r="O78" t="s">
        <v>58</v>
      </c>
      <c r="P78">
        <v>6</v>
      </c>
      <c r="Q78" t="s">
        <v>58</v>
      </c>
      <c r="R78">
        <v>4015</v>
      </c>
      <c r="S78">
        <v>60</v>
      </c>
      <c r="T78" t="s">
        <v>58</v>
      </c>
      <c r="U78" t="s">
        <v>58</v>
      </c>
      <c r="V78">
        <v>105</v>
      </c>
      <c r="W78">
        <v>3932</v>
      </c>
      <c r="X78" t="s">
        <v>58</v>
      </c>
      <c r="Y78" t="s">
        <v>58</v>
      </c>
      <c r="Z78" t="s">
        <v>58</v>
      </c>
      <c r="AA78">
        <v>1922</v>
      </c>
      <c r="AB78" t="s">
        <v>58</v>
      </c>
      <c r="AC78">
        <v>7558</v>
      </c>
      <c r="AD78" t="s">
        <v>58</v>
      </c>
      <c r="AE78" t="s">
        <v>58</v>
      </c>
      <c r="AF78">
        <v>5</v>
      </c>
      <c r="AG78">
        <v>5</v>
      </c>
      <c r="AH78">
        <v>1</v>
      </c>
      <c r="AI78">
        <v>17514</v>
      </c>
      <c r="AJ78">
        <v>12272</v>
      </c>
      <c r="AK78">
        <v>4005</v>
      </c>
      <c r="AL78">
        <v>844</v>
      </c>
      <c r="AM78">
        <v>20</v>
      </c>
      <c r="AN78">
        <v>8328</v>
      </c>
      <c r="AO78">
        <v>56</v>
      </c>
      <c r="AP78">
        <v>5797</v>
      </c>
      <c r="AQ78">
        <v>5175</v>
      </c>
      <c r="AR78" t="s">
        <v>58</v>
      </c>
      <c r="AS78">
        <v>22.84</v>
      </c>
      <c r="AT78" t="s">
        <v>58</v>
      </c>
      <c r="AU78" t="s">
        <v>58</v>
      </c>
      <c r="AV78">
        <v>1</v>
      </c>
      <c r="AW78" t="s">
        <v>58</v>
      </c>
      <c r="AX78" t="s">
        <v>58</v>
      </c>
      <c r="AY78">
        <v>139.46</v>
      </c>
      <c r="AZ78">
        <v>75</v>
      </c>
      <c r="BA78">
        <v>44.38</v>
      </c>
      <c r="BB78">
        <v>7.74</v>
      </c>
      <c r="BC78">
        <v>1</v>
      </c>
      <c r="BD78" t="s">
        <v>58</v>
      </c>
    </row>
    <row r="79" spans="1:56" x14ac:dyDescent="0.25">
      <c r="A79" t="s">
        <v>55</v>
      </c>
      <c r="B79" t="s">
        <v>56</v>
      </c>
      <c r="C79" t="s">
        <v>144</v>
      </c>
      <c r="D79" t="s">
        <v>145</v>
      </c>
      <c r="E79" t="s">
        <v>146</v>
      </c>
      <c r="F79" s="273">
        <v>310781406</v>
      </c>
      <c r="G79" t="s">
        <v>60</v>
      </c>
      <c r="H79" t="s">
        <v>58</v>
      </c>
      <c r="I79" t="s">
        <v>58</v>
      </c>
      <c r="J79" t="s">
        <v>58</v>
      </c>
      <c r="K79" t="s">
        <v>58</v>
      </c>
      <c r="L79" t="s">
        <v>58</v>
      </c>
      <c r="M79" t="s">
        <v>58</v>
      </c>
      <c r="N79" t="s">
        <v>58</v>
      </c>
      <c r="O79" t="s">
        <v>58</v>
      </c>
      <c r="P79" t="s">
        <v>58</v>
      </c>
      <c r="Q79" t="s">
        <v>58</v>
      </c>
      <c r="R79" t="s">
        <v>58</v>
      </c>
      <c r="S79" t="s">
        <v>58</v>
      </c>
      <c r="T79" t="s">
        <v>58</v>
      </c>
      <c r="U79" t="s">
        <v>58</v>
      </c>
      <c r="V79" t="s">
        <v>58</v>
      </c>
      <c r="W79" t="s">
        <v>58</v>
      </c>
      <c r="X79" t="s">
        <v>58</v>
      </c>
      <c r="Y79" t="s">
        <v>58</v>
      </c>
      <c r="Z79" t="s">
        <v>58</v>
      </c>
      <c r="AA79" t="s">
        <v>58</v>
      </c>
      <c r="AB79" t="s">
        <v>58</v>
      </c>
      <c r="AC79" t="s">
        <v>58</v>
      </c>
      <c r="AD79" t="s">
        <v>58</v>
      </c>
      <c r="AE79" t="s">
        <v>58</v>
      </c>
      <c r="AF79" t="s">
        <v>58</v>
      </c>
      <c r="AG79" t="s">
        <v>58</v>
      </c>
      <c r="AH79" t="s">
        <v>58</v>
      </c>
      <c r="AI79" t="s">
        <v>58</v>
      </c>
      <c r="AJ79" t="s">
        <v>58</v>
      </c>
      <c r="AK79" t="s">
        <v>58</v>
      </c>
      <c r="AL79" t="s">
        <v>58</v>
      </c>
      <c r="AM79" t="s">
        <v>58</v>
      </c>
      <c r="AN79" t="s">
        <v>58</v>
      </c>
      <c r="AO79" t="s">
        <v>58</v>
      </c>
      <c r="AP79" t="s">
        <v>58</v>
      </c>
      <c r="AQ79" t="s">
        <v>58</v>
      </c>
      <c r="AR79" t="s">
        <v>58</v>
      </c>
      <c r="AS79" t="s">
        <v>58</v>
      </c>
      <c r="AT79" t="s">
        <v>58</v>
      </c>
      <c r="AU79" t="s">
        <v>58</v>
      </c>
      <c r="AV79" t="s">
        <v>58</v>
      </c>
      <c r="AW79" t="s">
        <v>58</v>
      </c>
      <c r="AX79" t="s">
        <v>58</v>
      </c>
      <c r="AY79">
        <v>146.75</v>
      </c>
      <c r="AZ79">
        <v>56.55</v>
      </c>
      <c r="BA79">
        <v>11.58</v>
      </c>
      <c r="BB79">
        <v>16.920000000000002</v>
      </c>
      <c r="BC79">
        <v>17.760000000000002</v>
      </c>
      <c r="BD79">
        <v>19</v>
      </c>
    </row>
    <row r="80" spans="1:56" hidden="1" x14ac:dyDescent="0.25">
      <c r="A80" t="s">
        <v>55</v>
      </c>
      <c r="B80" t="s">
        <v>56</v>
      </c>
      <c r="C80" t="s">
        <v>144</v>
      </c>
      <c r="D80" t="s">
        <v>145</v>
      </c>
      <c r="E80" t="s">
        <v>146</v>
      </c>
      <c r="G80" t="s">
        <v>61</v>
      </c>
      <c r="H80">
        <v>1</v>
      </c>
      <c r="I80" t="s">
        <v>58</v>
      </c>
      <c r="J80" t="s">
        <v>58</v>
      </c>
      <c r="K80">
        <v>0</v>
      </c>
      <c r="L80">
        <v>99</v>
      </c>
      <c r="M80" t="s">
        <v>58</v>
      </c>
      <c r="N80" t="s">
        <v>58</v>
      </c>
      <c r="O80" t="s">
        <v>58</v>
      </c>
      <c r="P80">
        <v>6</v>
      </c>
      <c r="Q80" t="s">
        <v>58</v>
      </c>
      <c r="R80">
        <v>36117</v>
      </c>
      <c r="S80">
        <v>85</v>
      </c>
      <c r="T80" t="s">
        <v>58</v>
      </c>
      <c r="U80" t="s">
        <v>58</v>
      </c>
      <c r="V80">
        <v>1213</v>
      </c>
      <c r="W80">
        <v>33116</v>
      </c>
      <c r="X80" t="s">
        <v>58</v>
      </c>
      <c r="Y80" t="s">
        <v>58</v>
      </c>
      <c r="Z80" t="s">
        <v>58</v>
      </c>
      <c r="AA80">
        <v>1922</v>
      </c>
      <c r="AB80" t="s">
        <v>58</v>
      </c>
      <c r="AC80">
        <v>10514</v>
      </c>
      <c r="AD80" t="s">
        <v>58</v>
      </c>
      <c r="AE80" t="s">
        <v>58</v>
      </c>
      <c r="AF80">
        <v>6</v>
      </c>
      <c r="AG80">
        <v>8</v>
      </c>
      <c r="AH80">
        <v>1</v>
      </c>
      <c r="AI80">
        <v>26659</v>
      </c>
      <c r="AJ80">
        <v>28853</v>
      </c>
      <c r="AK80">
        <v>4005</v>
      </c>
      <c r="AL80">
        <v>1048</v>
      </c>
      <c r="AM80">
        <v>20</v>
      </c>
      <c r="AN80">
        <v>10809</v>
      </c>
      <c r="AO80">
        <v>56</v>
      </c>
      <c r="AP80">
        <v>11723</v>
      </c>
      <c r="AQ80">
        <v>10220</v>
      </c>
      <c r="AR80" t="s">
        <v>58</v>
      </c>
      <c r="AS80">
        <v>58.91</v>
      </c>
      <c r="AT80" t="s">
        <v>58</v>
      </c>
      <c r="AU80" t="s">
        <v>58</v>
      </c>
      <c r="AV80" t="s">
        <v>58</v>
      </c>
      <c r="AW80" t="s">
        <v>58</v>
      </c>
      <c r="AX80" t="s">
        <v>58</v>
      </c>
      <c r="AY80">
        <v>286.20999999999998</v>
      </c>
      <c r="AZ80">
        <v>131.55000000000001</v>
      </c>
      <c r="BA80">
        <v>55.96</v>
      </c>
      <c r="BB80">
        <v>24.66</v>
      </c>
      <c r="BC80">
        <v>18.760000000000002</v>
      </c>
      <c r="BD80">
        <v>19</v>
      </c>
    </row>
    <row r="81" spans="1:56" x14ac:dyDescent="0.25">
      <c r="A81" t="s">
        <v>55</v>
      </c>
      <c r="B81" t="s">
        <v>56</v>
      </c>
      <c r="C81" t="s">
        <v>147</v>
      </c>
      <c r="D81" t="s">
        <v>148</v>
      </c>
      <c r="E81" t="s">
        <v>62</v>
      </c>
      <c r="G81" t="s">
        <v>57</v>
      </c>
      <c r="H81" t="s">
        <v>58</v>
      </c>
      <c r="I81" t="s">
        <v>58</v>
      </c>
      <c r="J81" t="s">
        <v>58</v>
      </c>
      <c r="K81" t="s">
        <v>58</v>
      </c>
      <c r="L81" t="s">
        <v>58</v>
      </c>
      <c r="M81" t="s">
        <v>58</v>
      </c>
      <c r="N81" t="s">
        <v>58</v>
      </c>
      <c r="O81" t="s">
        <v>58</v>
      </c>
      <c r="P81" t="s">
        <v>58</v>
      </c>
      <c r="Q81" t="s">
        <v>58</v>
      </c>
      <c r="R81" t="s">
        <v>58</v>
      </c>
      <c r="S81">
        <v>42</v>
      </c>
      <c r="T81" t="s">
        <v>58</v>
      </c>
      <c r="U81" t="s">
        <v>58</v>
      </c>
      <c r="V81" t="s">
        <v>58</v>
      </c>
      <c r="W81" t="s">
        <v>58</v>
      </c>
      <c r="X81" t="s">
        <v>58</v>
      </c>
      <c r="Y81" t="s">
        <v>58</v>
      </c>
      <c r="Z81" t="s">
        <v>58</v>
      </c>
      <c r="AA81" t="s">
        <v>58</v>
      </c>
      <c r="AB81" t="s">
        <v>58</v>
      </c>
      <c r="AC81">
        <v>12422</v>
      </c>
      <c r="AD81" t="s">
        <v>58</v>
      </c>
      <c r="AE81" t="s">
        <v>58</v>
      </c>
      <c r="AF81" t="s">
        <v>58</v>
      </c>
      <c r="AG81" t="s">
        <v>58</v>
      </c>
      <c r="AH81" t="s">
        <v>58</v>
      </c>
      <c r="AI81" t="s">
        <v>58</v>
      </c>
      <c r="AJ81" t="s">
        <v>58</v>
      </c>
      <c r="AK81" t="s">
        <v>58</v>
      </c>
      <c r="AL81" t="s">
        <v>58</v>
      </c>
      <c r="AM81" t="s">
        <v>58</v>
      </c>
      <c r="AN81" t="s">
        <v>58</v>
      </c>
      <c r="AO81" t="s">
        <v>58</v>
      </c>
      <c r="AP81">
        <v>210</v>
      </c>
      <c r="AQ81" t="s">
        <v>58</v>
      </c>
      <c r="AR81" t="s">
        <v>58</v>
      </c>
      <c r="AS81">
        <v>3.5</v>
      </c>
      <c r="AT81" t="s">
        <v>58</v>
      </c>
      <c r="AU81" t="s">
        <v>58</v>
      </c>
      <c r="AV81" t="s">
        <v>58</v>
      </c>
      <c r="AW81" t="s">
        <v>58</v>
      </c>
      <c r="AX81" t="s">
        <v>58</v>
      </c>
      <c r="AY81">
        <v>16.2</v>
      </c>
      <c r="AZ81">
        <v>11</v>
      </c>
      <c r="BA81">
        <v>0</v>
      </c>
      <c r="BB81">
        <v>2</v>
      </c>
      <c r="BC81">
        <v>1</v>
      </c>
      <c r="BD81">
        <v>2.2000000000000002</v>
      </c>
    </row>
    <row r="82" spans="1:56" hidden="1" x14ac:dyDescent="0.25">
      <c r="A82" t="s">
        <v>55</v>
      </c>
      <c r="B82" t="s">
        <v>56</v>
      </c>
      <c r="C82" t="s">
        <v>147</v>
      </c>
      <c r="D82" t="s">
        <v>148</v>
      </c>
      <c r="E82" t="s">
        <v>62</v>
      </c>
      <c r="G82" t="s">
        <v>61</v>
      </c>
      <c r="H82">
        <v>0</v>
      </c>
      <c r="I82" t="s">
        <v>58</v>
      </c>
      <c r="J82" t="s">
        <v>58</v>
      </c>
      <c r="K82">
        <v>0</v>
      </c>
      <c r="L82" t="s">
        <v>58</v>
      </c>
      <c r="M82" t="s">
        <v>58</v>
      </c>
      <c r="N82" t="s">
        <v>58</v>
      </c>
      <c r="O82" t="s">
        <v>58</v>
      </c>
      <c r="P82" t="s">
        <v>58</v>
      </c>
      <c r="Q82" t="s">
        <v>58</v>
      </c>
      <c r="R82" t="s">
        <v>58</v>
      </c>
      <c r="S82">
        <v>42</v>
      </c>
      <c r="T82" t="s">
        <v>58</v>
      </c>
      <c r="U82" t="s">
        <v>58</v>
      </c>
      <c r="V82" t="s">
        <v>58</v>
      </c>
      <c r="W82" t="s">
        <v>58</v>
      </c>
      <c r="X82" t="s">
        <v>58</v>
      </c>
      <c r="Y82" t="s">
        <v>58</v>
      </c>
      <c r="Z82" t="s">
        <v>58</v>
      </c>
      <c r="AA82" t="s">
        <v>58</v>
      </c>
      <c r="AB82" t="s">
        <v>58</v>
      </c>
      <c r="AC82">
        <v>12422</v>
      </c>
      <c r="AD82" t="s">
        <v>58</v>
      </c>
      <c r="AE82" t="s">
        <v>58</v>
      </c>
      <c r="AF82" t="s">
        <v>58</v>
      </c>
      <c r="AG82" t="s">
        <v>58</v>
      </c>
      <c r="AH82" t="s">
        <v>58</v>
      </c>
      <c r="AI82" t="s">
        <v>58</v>
      </c>
      <c r="AJ82" t="s">
        <v>58</v>
      </c>
      <c r="AK82" t="s">
        <v>58</v>
      </c>
      <c r="AL82" t="s">
        <v>58</v>
      </c>
      <c r="AM82" t="s">
        <v>58</v>
      </c>
      <c r="AN82" t="s">
        <v>58</v>
      </c>
      <c r="AO82" t="s">
        <v>58</v>
      </c>
      <c r="AP82">
        <v>210</v>
      </c>
      <c r="AQ82" t="s">
        <v>58</v>
      </c>
      <c r="AR82" t="s">
        <v>58</v>
      </c>
      <c r="AS82">
        <v>3.5</v>
      </c>
      <c r="AT82" t="s">
        <v>58</v>
      </c>
      <c r="AU82" t="s">
        <v>58</v>
      </c>
      <c r="AV82" t="s">
        <v>58</v>
      </c>
      <c r="AW82" t="s">
        <v>58</v>
      </c>
      <c r="AX82" t="s">
        <v>58</v>
      </c>
      <c r="AY82">
        <v>16.2</v>
      </c>
      <c r="AZ82">
        <v>11</v>
      </c>
      <c r="BA82">
        <v>0</v>
      </c>
      <c r="BB82">
        <v>2</v>
      </c>
      <c r="BC82">
        <v>1</v>
      </c>
      <c r="BD82">
        <v>2.2000000000000002</v>
      </c>
    </row>
    <row r="83" spans="1:56" x14ac:dyDescent="0.25">
      <c r="A83" t="s">
        <v>55</v>
      </c>
      <c r="B83" t="s">
        <v>56</v>
      </c>
      <c r="C83" t="s">
        <v>149</v>
      </c>
      <c r="D83" t="s">
        <v>150</v>
      </c>
      <c r="E83" t="s">
        <v>151</v>
      </c>
      <c r="G83" t="s">
        <v>57</v>
      </c>
      <c r="H83" t="s">
        <v>58</v>
      </c>
      <c r="I83">
        <v>8</v>
      </c>
      <c r="J83" t="s">
        <v>58</v>
      </c>
      <c r="K83" t="s">
        <v>58</v>
      </c>
      <c r="L83" t="s">
        <v>58</v>
      </c>
      <c r="M83" t="s">
        <v>58</v>
      </c>
      <c r="N83" t="s">
        <v>58</v>
      </c>
      <c r="O83">
        <v>19</v>
      </c>
      <c r="P83" t="s">
        <v>58</v>
      </c>
      <c r="Q83" t="s">
        <v>58</v>
      </c>
      <c r="R83" t="s">
        <v>58</v>
      </c>
      <c r="S83">
        <v>31</v>
      </c>
      <c r="T83" t="s">
        <v>58</v>
      </c>
      <c r="U83" t="s">
        <v>58</v>
      </c>
      <c r="V83" t="s">
        <v>58</v>
      </c>
      <c r="W83" t="s">
        <v>58</v>
      </c>
      <c r="X83" t="s">
        <v>58</v>
      </c>
      <c r="Y83" t="s">
        <v>58</v>
      </c>
      <c r="Z83">
        <v>4539</v>
      </c>
      <c r="AA83" t="s">
        <v>58</v>
      </c>
      <c r="AB83" t="s">
        <v>58</v>
      </c>
      <c r="AC83">
        <v>4378</v>
      </c>
      <c r="AD83" t="s">
        <v>58</v>
      </c>
      <c r="AE83" t="s">
        <v>58</v>
      </c>
      <c r="AF83" t="s">
        <v>58</v>
      </c>
      <c r="AG83" t="s">
        <v>58</v>
      </c>
      <c r="AH83" t="s">
        <v>58</v>
      </c>
      <c r="AI83" t="s">
        <v>58</v>
      </c>
      <c r="AJ83" t="s">
        <v>58</v>
      </c>
      <c r="AK83" t="s">
        <v>58</v>
      </c>
      <c r="AL83" t="s">
        <v>58</v>
      </c>
      <c r="AM83" t="s">
        <v>58</v>
      </c>
      <c r="AN83" t="s">
        <v>58</v>
      </c>
      <c r="AO83" t="s">
        <v>58</v>
      </c>
      <c r="AP83">
        <v>74</v>
      </c>
      <c r="AQ83">
        <v>0</v>
      </c>
      <c r="AR83">
        <v>0</v>
      </c>
      <c r="AS83">
        <v>0.24</v>
      </c>
      <c r="AT83">
        <v>0</v>
      </c>
      <c r="AU83">
        <v>0</v>
      </c>
      <c r="AV83">
        <v>0</v>
      </c>
      <c r="AW83">
        <v>0</v>
      </c>
      <c r="AX83">
        <v>0</v>
      </c>
      <c r="AY83">
        <v>14.29</v>
      </c>
      <c r="AZ83">
        <v>5.27</v>
      </c>
      <c r="BA83">
        <v>2.83</v>
      </c>
      <c r="BB83">
        <v>0.2</v>
      </c>
      <c r="BC83">
        <v>0.2</v>
      </c>
      <c r="BD83">
        <v>5.79</v>
      </c>
    </row>
    <row r="84" spans="1:56" hidden="1" x14ac:dyDescent="0.25">
      <c r="A84" t="s">
        <v>55</v>
      </c>
      <c r="B84" t="s">
        <v>56</v>
      </c>
      <c r="C84" t="s">
        <v>149</v>
      </c>
      <c r="D84" t="s">
        <v>150</v>
      </c>
      <c r="E84" t="s">
        <v>151</v>
      </c>
      <c r="G84" t="s">
        <v>61</v>
      </c>
      <c r="H84">
        <v>1</v>
      </c>
      <c r="I84" t="s">
        <v>58</v>
      </c>
      <c r="J84">
        <v>0</v>
      </c>
      <c r="K84">
        <v>0</v>
      </c>
      <c r="L84" t="s">
        <v>58</v>
      </c>
      <c r="M84" t="s">
        <v>58</v>
      </c>
      <c r="N84" t="s">
        <v>58</v>
      </c>
      <c r="O84">
        <v>19</v>
      </c>
      <c r="P84" t="s">
        <v>58</v>
      </c>
      <c r="Q84" t="s">
        <v>58</v>
      </c>
      <c r="R84" t="s">
        <v>58</v>
      </c>
      <c r="S84">
        <v>31</v>
      </c>
      <c r="T84" t="s">
        <v>58</v>
      </c>
      <c r="U84" t="s">
        <v>58</v>
      </c>
      <c r="V84" t="s">
        <v>58</v>
      </c>
      <c r="W84" t="s">
        <v>58</v>
      </c>
      <c r="X84" t="s">
        <v>58</v>
      </c>
      <c r="Y84" t="s">
        <v>58</v>
      </c>
      <c r="Z84">
        <v>4539</v>
      </c>
      <c r="AA84" t="s">
        <v>58</v>
      </c>
      <c r="AB84" t="s">
        <v>58</v>
      </c>
      <c r="AC84">
        <v>4378</v>
      </c>
      <c r="AD84" t="s">
        <v>58</v>
      </c>
      <c r="AE84" t="s">
        <v>58</v>
      </c>
      <c r="AF84" t="s">
        <v>58</v>
      </c>
      <c r="AG84" t="s">
        <v>58</v>
      </c>
      <c r="AH84" t="s">
        <v>58</v>
      </c>
      <c r="AI84" t="s">
        <v>58</v>
      </c>
      <c r="AJ84" t="s">
        <v>58</v>
      </c>
      <c r="AK84" t="s">
        <v>58</v>
      </c>
      <c r="AL84" t="s">
        <v>58</v>
      </c>
      <c r="AM84" t="s">
        <v>58</v>
      </c>
      <c r="AN84" t="s">
        <v>58</v>
      </c>
      <c r="AO84" t="s">
        <v>58</v>
      </c>
      <c r="AP84">
        <v>71</v>
      </c>
      <c r="AQ84">
        <v>0</v>
      </c>
      <c r="AR84">
        <v>0</v>
      </c>
      <c r="AS84">
        <v>0.24</v>
      </c>
      <c r="AT84">
        <v>0</v>
      </c>
      <c r="AU84">
        <v>0</v>
      </c>
      <c r="AV84" t="s">
        <v>58</v>
      </c>
      <c r="AW84" t="s">
        <v>58</v>
      </c>
      <c r="AX84">
        <v>0</v>
      </c>
      <c r="AY84">
        <v>14.29</v>
      </c>
      <c r="AZ84">
        <v>5.27</v>
      </c>
      <c r="BA84">
        <v>2.83</v>
      </c>
      <c r="BB84">
        <v>0.2</v>
      </c>
      <c r="BC84">
        <v>0.2</v>
      </c>
      <c r="BD84">
        <v>5.79</v>
      </c>
    </row>
    <row r="85" spans="1:56" x14ac:dyDescent="0.25">
      <c r="A85" t="s">
        <v>55</v>
      </c>
      <c r="B85" t="s">
        <v>56</v>
      </c>
      <c r="C85" t="s">
        <v>152</v>
      </c>
      <c r="D85" t="s">
        <v>153</v>
      </c>
      <c r="E85" t="s">
        <v>154</v>
      </c>
      <c r="G85" t="s">
        <v>57</v>
      </c>
      <c r="H85" t="s">
        <v>58</v>
      </c>
      <c r="I85">
        <v>3</v>
      </c>
      <c r="J85" t="s">
        <v>58</v>
      </c>
      <c r="K85" t="s">
        <v>58</v>
      </c>
      <c r="L85">
        <v>117</v>
      </c>
      <c r="M85">
        <v>0</v>
      </c>
      <c r="N85">
        <v>0</v>
      </c>
      <c r="O85">
        <v>0</v>
      </c>
      <c r="P85">
        <v>0</v>
      </c>
      <c r="Q85">
        <v>0</v>
      </c>
      <c r="R85">
        <v>42705</v>
      </c>
      <c r="S85">
        <v>35</v>
      </c>
      <c r="T85">
        <v>6</v>
      </c>
      <c r="U85">
        <v>1</v>
      </c>
      <c r="V85">
        <v>979</v>
      </c>
      <c r="W85">
        <v>37555</v>
      </c>
      <c r="X85">
        <v>0</v>
      </c>
      <c r="Y85">
        <v>0</v>
      </c>
      <c r="Z85">
        <v>0</v>
      </c>
      <c r="AA85">
        <v>0</v>
      </c>
      <c r="AB85">
        <v>0</v>
      </c>
      <c r="AC85">
        <v>4424</v>
      </c>
      <c r="AD85">
        <v>36</v>
      </c>
      <c r="AE85">
        <v>1198</v>
      </c>
      <c r="AF85">
        <v>8</v>
      </c>
      <c r="AG85">
        <v>4</v>
      </c>
      <c r="AH85">
        <v>8</v>
      </c>
      <c r="AI85">
        <v>24977</v>
      </c>
      <c r="AJ85">
        <v>4617</v>
      </c>
      <c r="AK85">
        <v>4667</v>
      </c>
      <c r="AL85">
        <v>10100</v>
      </c>
      <c r="AM85">
        <v>953</v>
      </c>
      <c r="AN85">
        <v>1402</v>
      </c>
      <c r="AO85">
        <v>18</v>
      </c>
      <c r="AP85">
        <v>4359</v>
      </c>
      <c r="AQ85">
        <v>3358</v>
      </c>
      <c r="AR85" t="s">
        <v>58</v>
      </c>
      <c r="AS85">
        <v>9.65</v>
      </c>
      <c r="AT85" t="s">
        <v>58</v>
      </c>
      <c r="AU85" t="s">
        <v>58</v>
      </c>
      <c r="AV85">
        <v>1</v>
      </c>
      <c r="AW85">
        <v>1</v>
      </c>
      <c r="AX85" t="s">
        <v>58</v>
      </c>
      <c r="AY85">
        <v>267.14</v>
      </c>
      <c r="AZ85">
        <v>128.78</v>
      </c>
      <c r="BA85">
        <v>66.67</v>
      </c>
      <c r="BB85">
        <v>10.36</v>
      </c>
      <c r="BC85">
        <v>3</v>
      </c>
      <c r="BD85">
        <v>17.7</v>
      </c>
    </row>
    <row r="86" spans="1:56" x14ac:dyDescent="0.25">
      <c r="A86" t="s">
        <v>55</v>
      </c>
      <c r="B86" t="s">
        <v>56</v>
      </c>
      <c r="C86" t="s">
        <v>152</v>
      </c>
      <c r="D86" t="s">
        <v>153</v>
      </c>
      <c r="E86" t="s">
        <v>154</v>
      </c>
      <c r="F86" s="273">
        <v>320780125</v>
      </c>
      <c r="G86" t="s">
        <v>59</v>
      </c>
      <c r="H86" t="s">
        <v>58</v>
      </c>
      <c r="I86">
        <v>1</v>
      </c>
      <c r="J86" t="s">
        <v>58</v>
      </c>
      <c r="K86" t="s">
        <v>58</v>
      </c>
      <c r="L86">
        <v>5</v>
      </c>
      <c r="M86">
        <v>0</v>
      </c>
      <c r="N86" t="s">
        <v>58</v>
      </c>
      <c r="O86" t="s">
        <v>58</v>
      </c>
      <c r="P86">
        <v>0</v>
      </c>
      <c r="Q86">
        <v>0</v>
      </c>
      <c r="R86">
        <v>1825</v>
      </c>
      <c r="S86">
        <v>9</v>
      </c>
      <c r="T86">
        <v>2</v>
      </c>
      <c r="U86">
        <v>0</v>
      </c>
      <c r="V86">
        <v>214</v>
      </c>
      <c r="W86">
        <v>1521</v>
      </c>
      <c r="X86">
        <v>0</v>
      </c>
      <c r="Y86" t="s">
        <v>58</v>
      </c>
      <c r="Z86" t="s">
        <v>58</v>
      </c>
      <c r="AA86">
        <v>0</v>
      </c>
      <c r="AB86">
        <v>0</v>
      </c>
      <c r="AC86">
        <v>956</v>
      </c>
      <c r="AD86">
        <v>172</v>
      </c>
      <c r="AE86">
        <v>0</v>
      </c>
      <c r="AF86">
        <v>5</v>
      </c>
      <c r="AG86">
        <v>3</v>
      </c>
      <c r="AH86">
        <v>0</v>
      </c>
      <c r="AI86">
        <v>8195</v>
      </c>
      <c r="AJ86">
        <v>2293</v>
      </c>
      <c r="AK86">
        <v>0</v>
      </c>
      <c r="AL86">
        <v>766</v>
      </c>
      <c r="AM86">
        <v>58</v>
      </c>
      <c r="AN86">
        <v>222</v>
      </c>
      <c r="AO86">
        <v>11</v>
      </c>
      <c r="AP86">
        <v>932</v>
      </c>
      <c r="AQ86">
        <v>828</v>
      </c>
      <c r="AR86" t="s">
        <v>58</v>
      </c>
      <c r="AS86">
        <v>1.6</v>
      </c>
      <c r="AT86" t="s">
        <v>58</v>
      </c>
      <c r="AU86">
        <v>1</v>
      </c>
      <c r="AV86">
        <v>1</v>
      </c>
      <c r="AW86">
        <v>1</v>
      </c>
      <c r="AX86" t="s">
        <v>58</v>
      </c>
      <c r="AY86">
        <v>56.48</v>
      </c>
      <c r="AZ86">
        <v>30.55</v>
      </c>
      <c r="BA86" t="s">
        <v>58</v>
      </c>
      <c r="BB86">
        <v>7.57</v>
      </c>
      <c r="BC86">
        <v>3.78</v>
      </c>
      <c r="BD86">
        <v>9.09</v>
      </c>
    </row>
    <row r="87" spans="1:56" hidden="1" x14ac:dyDescent="0.25">
      <c r="A87" t="s">
        <v>55</v>
      </c>
      <c r="B87" t="s">
        <v>56</v>
      </c>
      <c r="C87" t="s">
        <v>152</v>
      </c>
      <c r="D87" t="s">
        <v>153</v>
      </c>
      <c r="E87" t="s">
        <v>154</v>
      </c>
      <c r="G87" t="s">
        <v>61</v>
      </c>
      <c r="H87">
        <v>1</v>
      </c>
      <c r="I87" t="s">
        <v>58</v>
      </c>
      <c r="J87">
        <v>0</v>
      </c>
      <c r="K87">
        <v>0</v>
      </c>
      <c r="L87">
        <v>122</v>
      </c>
      <c r="M87">
        <v>0</v>
      </c>
      <c r="N87">
        <v>0</v>
      </c>
      <c r="O87">
        <v>0</v>
      </c>
      <c r="P87">
        <v>0</v>
      </c>
      <c r="Q87">
        <v>0</v>
      </c>
      <c r="R87">
        <v>44530</v>
      </c>
      <c r="S87">
        <v>44</v>
      </c>
      <c r="T87">
        <v>8</v>
      </c>
      <c r="U87">
        <v>1</v>
      </c>
      <c r="V87">
        <v>1193</v>
      </c>
      <c r="W87">
        <v>39076</v>
      </c>
      <c r="X87">
        <v>0</v>
      </c>
      <c r="Y87">
        <v>0</v>
      </c>
      <c r="Z87">
        <v>0</v>
      </c>
      <c r="AA87">
        <v>0</v>
      </c>
      <c r="AB87">
        <v>0</v>
      </c>
      <c r="AC87">
        <v>5380</v>
      </c>
      <c r="AD87">
        <v>208</v>
      </c>
      <c r="AE87">
        <v>1198</v>
      </c>
      <c r="AF87">
        <v>13</v>
      </c>
      <c r="AG87">
        <v>7</v>
      </c>
      <c r="AH87">
        <v>8</v>
      </c>
      <c r="AI87">
        <v>33172</v>
      </c>
      <c r="AJ87">
        <v>6910</v>
      </c>
      <c r="AK87">
        <v>4667</v>
      </c>
      <c r="AL87">
        <v>10866</v>
      </c>
      <c r="AM87">
        <v>1011</v>
      </c>
      <c r="AN87">
        <v>1624</v>
      </c>
      <c r="AO87">
        <v>29</v>
      </c>
      <c r="AP87">
        <v>5192</v>
      </c>
      <c r="AQ87">
        <v>3868</v>
      </c>
      <c r="AR87" t="s">
        <v>58</v>
      </c>
      <c r="AS87">
        <v>11.25</v>
      </c>
      <c r="AT87" t="s">
        <v>58</v>
      </c>
      <c r="AU87">
        <v>1</v>
      </c>
      <c r="AV87" t="s">
        <v>58</v>
      </c>
      <c r="AW87" t="s">
        <v>58</v>
      </c>
      <c r="AX87" t="s">
        <v>58</v>
      </c>
      <c r="AY87">
        <v>323.62</v>
      </c>
      <c r="AZ87">
        <v>159.33000000000001</v>
      </c>
      <c r="BA87">
        <v>66.67</v>
      </c>
      <c r="BB87">
        <v>17.93</v>
      </c>
      <c r="BC87">
        <v>6.78</v>
      </c>
      <c r="BD87">
        <v>26.79</v>
      </c>
    </row>
    <row r="88" spans="1:56" x14ac:dyDescent="0.25">
      <c r="A88" t="s">
        <v>55</v>
      </c>
      <c r="B88" t="s">
        <v>56</v>
      </c>
      <c r="C88" t="s">
        <v>155</v>
      </c>
      <c r="D88" t="s">
        <v>156</v>
      </c>
      <c r="E88" t="s">
        <v>157</v>
      </c>
      <c r="G88" t="s">
        <v>57</v>
      </c>
      <c r="H88" t="s">
        <v>58</v>
      </c>
      <c r="I88" t="s">
        <v>58</v>
      </c>
      <c r="J88" t="s">
        <v>58</v>
      </c>
      <c r="K88" t="s">
        <v>58</v>
      </c>
      <c r="L88">
        <v>68</v>
      </c>
      <c r="M88" t="s">
        <v>58</v>
      </c>
      <c r="N88" t="s">
        <v>58</v>
      </c>
      <c r="O88" t="s">
        <v>58</v>
      </c>
      <c r="P88" t="s">
        <v>58</v>
      </c>
      <c r="Q88" t="s">
        <v>58</v>
      </c>
      <c r="R88">
        <v>24820</v>
      </c>
      <c r="S88">
        <v>20</v>
      </c>
      <c r="T88" t="s">
        <v>58</v>
      </c>
      <c r="U88" t="s">
        <v>58</v>
      </c>
      <c r="V88">
        <v>397</v>
      </c>
      <c r="W88">
        <v>20376</v>
      </c>
      <c r="X88" t="s">
        <v>58</v>
      </c>
      <c r="Y88" t="s">
        <v>58</v>
      </c>
      <c r="Z88" t="s">
        <v>58</v>
      </c>
      <c r="AA88" t="s">
        <v>58</v>
      </c>
      <c r="AB88" t="s">
        <v>58</v>
      </c>
      <c r="AC88">
        <v>7127</v>
      </c>
      <c r="AD88" t="s">
        <v>58</v>
      </c>
      <c r="AE88" t="s">
        <v>58</v>
      </c>
      <c r="AF88" t="s">
        <v>58</v>
      </c>
      <c r="AG88" t="s">
        <v>58</v>
      </c>
      <c r="AH88" t="s">
        <v>58</v>
      </c>
      <c r="AI88" t="s">
        <v>58</v>
      </c>
      <c r="AJ88" t="s">
        <v>58</v>
      </c>
      <c r="AK88" t="s">
        <v>58</v>
      </c>
      <c r="AL88" t="s">
        <v>58</v>
      </c>
      <c r="AM88" t="s">
        <v>58</v>
      </c>
      <c r="AN88" t="s">
        <v>58</v>
      </c>
      <c r="AO88" t="s">
        <v>58</v>
      </c>
      <c r="AP88">
        <v>462</v>
      </c>
      <c r="AQ88" t="s">
        <v>58</v>
      </c>
      <c r="AR88">
        <v>3</v>
      </c>
      <c r="AS88">
        <v>0.23</v>
      </c>
      <c r="AT88">
        <v>3</v>
      </c>
      <c r="AU88">
        <v>0</v>
      </c>
      <c r="AV88">
        <v>1</v>
      </c>
      <c r="AW88">
        <v>0</v>
      </c>
      <c r="AX88" t="s">
        <v>58</v>
      </c>
      <c r="AY88" t="s">
        <v>58</v>
      </c>
      <c r="AZ88">
        <v>22.1</v>
      </c>
      <c r="BA88">
        <v>4.5999999999999996</v>
      </c>
      <c r="BB88">
        <v>2.5</v>
      </c>
      <c r="BC88">
        <v>0.5</v>
      </c>
      <c r="BD88">
        <v>1</v>
      </c>
    </row>
    <row r="89" spans="1:56" hidden="1" x14ac:dyDescent="0.25">
      <c r="A89" t="s">
        <v>55</v>
      </c>
      <c r="B89" t="s">
        <v>56</v>
      </c>
      <c r="C89" t="s">
        <v>155</v>
      </c>
      <c r="D89" t="s">
        <v>156</v>
      </c>
      <c r="E89" t="s">
        <v>157</v>
      </c>
      <c r="G89" t="s">
        <v>61</v>
      </c>
      <c r="H89">
        <v>0</v>
      </c>
      <c r="I89" t="s">
        <v>58</v>
      </c>
      <c r="J89" t="s">
        <v>58</v>
      </c>
      <c r="K89">
        <v>0</v>
      </c>
      <c r="L89">
        <v>68</v>
      </c>
      <c r="M89" t="s">
        <v>58</v>
      </c>
      <c r="N89" t="s">
        <v>58</v>
      </c>
      <c r="O89" t="s">
        <v>58</v>
      </c>
      <c r="P89" t="s">
        <v>58</v>
      </c>
      <c r="Q89" t="s">
        <v>58</v>
      </c>
      <c r="R89">
        <v>24820</v>
      </c>
      <c r="S89">
        <v>20</v>
      </c>
      <c r="T89" t="s">
        <v>58</v>
      </c>
      <c r="U89" t="s">
        <v>58</v>
      </c>
      <c r="V89">
        <v>397</v>
      </c>
      <c r="W89">
        <v>20376</v>
      </c>
      <c r="X89" t="s">
        <v>58</v>
      </c>
      <c r="Y89" t="s">
        <v>58</v>
      </c>
      <c r="Z89" t="s">
        <v>58</v>
      </c>
      <c r="AA89" t="s">
        <v>58</v>
      </c>
      <c r="AB89" t="s">
        <v>58</v>
      </c>
      <c r="AC89">
        <v>7127</v>
      </c>
      <c r="AD89" t="s">
        <v>58</v>
      </c>
      <c r="AE89" t="s">
        <v>58</v>
      </c>
      <c r="AF89" t="s">
        <v>58</v>
      </c>
      <c r="AG89" t="s">
        <v>58</v>
      </c>
      <c r="AH89" t="s">
        <v>58</v>
      </c>
      <c r="AI89" t="s">
        <v>58</v>
      </c>
      <c r="AJ89" t="s">
        <v>58</v>
      </c>
      <c r="AK89" t="s">
        <v>58</v>
      </c>
      <c r="AL89" t="s">
        <v>58</v>
      </c>
      <c r="AM89" t="s">
        <v>58</v>
      </c>
      <c r="AN89" t="s">
        <v>58</v>
      </c>
      <c r="AO89" t="s">
        <v>58</v>
      </c>
      <c r="AP89">
        <v>462</v>
      </c>
      <c r="AQ89" t="s">
        <v>58</v>
      </c>
      <c r="AR89">
        <v>3</v>
      </c>
      <c r="AS89">
        <v>0.23</v>
      </c>
      <c r="AT89">
        <v>3</v>
      </c>
      <c r="AU89">
        <v>0</v>
      </c>
      <c r="AV89" t="s">
        <v>58</v>
      </c>
      <c r="AW89" t="s">
        <v>58</v>
      </c>
      <c r="AX89" t="s">
        <v>58</v>
      </c>
      <c r="AY89" t="s">
        <v>58</v>
      </c>
      <c r="AZ89">
        <v>22.1</v>
      </c>
      <c r="BA89">
        <v>4.5999999999999996</v>
      </c>
      <c r="BB89">
        <v>2.5</v>
      </c>
      <c r="BC89">
        <v>0.5</v>
      </c>
      <c r="BD89">
        <v>1</v>
      </c>
    </row>
    <row r="90" spans="1:56" x14ac:dyDescent="0.25">
      <c r="A90" t="s">
        <v>55</v>
      </c>
      <c r="B90" t="s">
        <v>56</v>
      </c>
      <c r="C90" t="s">
        <v>158</v>
      </c>
      <c r="D90" t="s">
        <v>159</v>
      </c>
      <c r="E90" t="s">
        <v>160</v>
      </c>
      <c r="G90" t="s">
        <v>57</v>
      </c>
      <c r="H90" t="s">
        <v>58</v>
      </c>
      <c r="I90">
        <v>3</v>
      </c>
      <c r="J90" t="s">
        <v>58</v>
      </c>
      <c r="K90" t="s">
        <v>58</v>
      </c>
      <c r="L90" t="s">
        <v>58</v>
      </c>
      <c r="M90" t="s">
        <v>58</v>
      </c>
      <c r="N90" t="s">
        <v>58</v>
      </c>
      <c r="O90" t="s">
        <v>58</v>
      </c>
      <c r="P90">
        <v>10</v>
      </c>
      <c r="Q90" t="s">
        <v>58</v>
      </c>
      <c r="R90">
        <v>3650</v>
      </c>
      <c r="S90" t="s">
        <v>58</v>
      </c>
      <c r="T90" t="s">
        <v>58</v>
      </c>
      <c r="U90" t="s">
        <v>58</v>
      </c>
      <c r="V90" t="s">
        <v>58</v>
      </c>
      <c r="W90" t="s">
        <v>58</v>
      </c>
      <c r="X90" t="s">
        <v>58</v>
      </c>
      <c r="Y90" t="s">
        <v>58</v>
      </c>
      <c r="Z90" t="s">
        <v>58</v>
      </c>
      <c r="AA90">
        <v>3063</v>
      </c>
      <c r="AB90" t="s">
        <v>58</v>
      </c>
      <c r="AC90" t="s">
        <v>58</v>
      </c>
      <c r="AD90" t="s">
        <v>58</v>
      </c>
      <c r="AE90" t="s">
        <v>58</v>
      </c>
      <c r="AF90" t="s">
        <v>58</v>
      </c>
      <c r="AG90">
        <v>1</v>
      </c>
      <c r="AH90" t="s">
        <v>58</v>
      </c>
      <c r="AI90" t="s">
        <v>58</v>
      </c>
      <c r="AJ90">
        <v>593</v>
      </c>
      <c r="AK90" t="s">
        <v>58</v>
      </c>
      <c r="AL90" t="s">
        <v>58</v>
      </c>
      <c r="AM90" t="s">
        <v>58</v>
      </c>
      <c r="AN90">
        <v>6376</v>
      </c>
      <c r="AO90">
        <v>1</v>
      </c>
      <c r="AP90">
        <v>2686</v>
      </c>
      <c r="AQ90">
        <v>2323</v>
      </c>
      <c r="AR90" t="s">
        <v>58</v>
      </c>
      <c r="AS90">
        <v>2.33</v>
      </c>
      <c r="AT90" t="s">
        <v>58</v>
      </c>
      <c r="AU90" t="s">
        <v>58</v>
      </c>
      <c r="AV90">
        <v>1</v>
      </c>
      <c r="AW90" t="s">
        <v>58</v>
      </c>
      <c r="AX90" t="s">
        <v>58</v>
      </c>
      <c r="AY90">
        <v>23.67</v>
      </c>
      <c r="AZ90">
        <v>17.21</v>
      </c>
      <c r="BA90">
        <v>1</v>
      </c>
      <c r="BB90">
        <v>0.84</v>
      </c>
      <c r="BC90">
        <v>0.02</v>
      </c>
      <c r="BD90">
        <v>0.49</v>
      </c>
    </row>
    <row r="91" spans="1:56" s="108" customFormat="1" x14ac:dyDescent="0.25">
      <c r="A91" s="108" t="s">
        <v>55</v>
      </c>
      <c r="B91" s="108" t="s">
        <v>56</v>
      </c>
      <c r="C91" s="108" t="s">
        <v>158</v>
      </c>
      <c r="D91" s="108" t="s">
        <v>159</v>
      </c>
      <c r="E91" s="108" t="s">
        <v>160</v>
      </c>
      <c r="F91" s="281">
        <v>340780055</v>
      </c>
      <c r="G91" s="108" t="s">
        <v>59</v>
      </c>
      <c r="H91" s="108" t="s">
        <v>58</v>
      </c>
      <c r="I91" s="108">
        <v>1</v>
      </c>
      <c r="J91" s="108" t="s">
        <v>58</v>
      </c>
      <c r="K91" s="108" t="s">
        <v>58</v>
      </c>
      <c r="L91" s="108">
        <v>0</v>
      </c>
      <c r="M91" s="108" t="s">
        <v>58</v>
      </c>
      <c r="N91" s="108" t="s">
        <v>58</v>
      </c>
      <c r="O91" s="108" t="s">
        <v>58</v>
      </c>
      <c r="P91" s="108" t="s">
        <v>58</v>
      </c>
      <c r="Q91" s="108" t="s">
        <v>58</v>
      </c>
      <c r="R91" s="108">
        <v>450</v>
      </c>
      <c r="S91" s="108" t="s">
        <v>58</v>
      </c>
      <c r="T91" s="108" t="s">
        <v>58</v>
      </c>
      <c r="U91" s="108" t="s">
        <v>58</v>
      </c>
      <c r="V91" s="108">
        <v>23</v>
      </c>
      <c r="W91" s="108">
        <v>320</v>
      </c>
      <c r="X91" s="108" t="s">
        <v>58</v>
      </c>
      <c r="Y91" s="108" t="s">
        <v>58</v>
      </c>
      <c r="Z91" s="108" t="s">
        <v>58</v>
      </c>
      <c r="AA91" s="108" t="s">
        <v>58</v>
      </c>
      <c r="AB91" s="108" t="s">
        <v>58</v>
      </c>
      <c r="AC91" s="108" t="s">
        <v>58</v>
      </c>
      <c r="AD91" s="108" t="s">
        <v>58</v>
      </c>
      <c r="AE91" s="108" t="s">
        <v>58</v>
      </c>
      <c r="AF91" s="108" t="s">
        <v>58</v>
      </c>
      <c r="AG91" s="108">
        <v>1</v>
      </c>
      <c r="AH91" s="108" t="s">
        <v>58</v>
      </c>
      <c r="AI91" s="108" t="s">
        <v>58</v>
      </c>
      <c r="AJ91" s="108">
        <v>83</v>
      </c>
      <c r="AK91" s="108" t="s">
        <v>58</v>
      </c>
      <c r="AL91" s="108" t="s">
        <v>58</v>
      </c>
      <c r="AM91" s="108">
        <v>3</v>
      </c>
      <c r="AN91" s="108">
        <v>448</v>
      </c>
      <c r="AO91" s="108" t="s">
        <v>58</v>
      </c>
      <c r="AP91" s="108">
        <v>201</v>
      </c>
      <c r="AQ91" s="108">
        <v>190</v>
      </c>
      <c r="AR91" s="108" t="s">
        <v>58</v>
      </c>
      <c r="AS91" s="108" t="s">
        <v>58</v>
      </c>
      <c r="AT91" s="108" t="s">
        <v>58</v>
      </c>
      <c r="AU91" s="108" t="s">
        <v>58</v>
      </c>
      <c r="AV91" s="108">
        <v>1</v>
      </c>
      <c r="AW91" s="108" t="s">
        <v>58</v>
      </c>
      <c r="AX91" s="108" t="s">
        <v>58</v>
      </c>
      <c r="AY91" s="108">
        <v>2.14</v>
      </c>
      <c r="AZ91" s="108">
        <v>1.84</v>
      </c>
      <c r="BA91" s="108" t="s">
        <v>58</v>
      </c>
      <c r="BB91" s="108">
        <v>0.3</v>
      </c>
      <c r="BC91" s="108" t="s">
        <v>58</v>
      </c>
      <c r="BD91" s="108" t="s">
        <v>58</v>
      </c>
    </row>
    <row r="92" spans="1:56" x14ac:dyDescent="0.25">
      <c r="A92" t="s">
        <v>55</v>
      </c>
      <c r="B92" t="s">
        <v>56</v>
      </c>
      <c r="C92" t="s">
        <v>158</v>
      </c>
      <c r="D92" t="s">
        <v>159</v>
      </c>
      <c r="E92" t="s">
        <v>160</v>
      </c>
      <c r="F92" s="273">
        <v>340780055</v>
      </c>
      <c r="G92" t="s">
        <v>60</v>
      </c>
      <c r="H92" t="s">
        <v>58</v>
      </c>
      <c r="I92" t="s">
        <v>58</v>
      </c>
      <c r="J92" t="s">
        <v>58</v>
      </c>
      <c r="K92" t="s">
        <v>58</v>
      </c>
      <c r="L92" t="s">
        <v>58</v>
      </c>
      <c r="M92" t="s">
        <v>58</v>
      </c>
      <c r="N92" t="s">
        <v>58</v>
      </c>
      <c r="O92" t="s">
        <v>58</v>
      </c>
      <c r="P92" t="s">
        <v>58</v>
      </c>
      <c r="Q92" t="s">
        <v>58</v>
      </c>
      <c r="R92" t="s">
        <v>58</v>
      </c>
      <c r="S92" t="s">
        <v>58</v>
      </c>
      <c r="T92" t="s">
        <v>58</v>
      </c>
      <c r="U92" t="s">
        <v>58</v>
      </c>
      <c r="V92" t="s">
        <v>58</v>
      </c>
      <c r="W92" t="s">
        <v>58</v>
      </c>
      <c r="X92" t="s">
        <v>58</v>
      </c>
      <c r="Y92" t="s">
        <v>58</v>
      </c>
      <c r="Z92" t="s">
        <v>58</v>
      </c>
      <c r="AA92" t="s">
        <v>58</v>
      </c>
      <c r="AB92" t="s">
        <v>58</v>
      </c>
      <c r="AC92" t="s">
        <v>58</v>
      </c>
      <c r="AD92" t="s">
        <v>58</v>
      </c>
      <c r="AE92" t="s">
        <v>58</v>
      </c>
      <c r="AF92" t="s">
        <v>58</v>
      </c>
      <c r="AG92" t="s">
        <v>58</v>
      </c>
      <c r="AH92" t="s">
        <v>58</v>
      </c>
      <c r="AI92" t="s">
        <v>58</v>
      </c>
      <c r="AJ92" t="s">
        <v>58</v>
      </c>
      <c r="AK92" t="s">
        <v>58</v>
      </c>
      <c r="AL92">
        <v>5181</v>
      </c>
      <c r="AM92" t="s">
        <v>58</v>
      </c>
      <c r="AN92" t="s">
        <v>58</v>
      </c>
      <c r="AO92" t="s">
        <v>58</v>
      </c>
      <c r="AP92">
        <v>1242</v>
      </c>
      <c r="AQ92">
        <v>1242</v>
      </c>
      <c r="AR92" t="s">
        <v>58</v>
      </c>
      <c r="AS92">
        <v>1.83</v>
      </c>
      <c r="AT92" t="s">
        <v>58</v>
      </c>
      <c r="AU92" t="s">
        <v>58</v>
      </c>
      <c r="AV92" t="s">
        <v>58</v>
      </c>
      <c r="AW92" t="s">
        <v>58</v>
      </c>
      <c r="AX92" t="s">
        <v>58</v>
      </c>
      <c r="AY92">
        <v>3.06</v>
      </c>
      <c r="AZ92" t="s">
        <v>58</v>
      </c>
      <c r="BA92" t="s">
        <v>58</v>
      </c>
      <c r="BB92">
        <v>3.06</v>
      </c>
      <c r="BC92" t="s">
        <v>58</v>
      </c>
      <c r="BD92" t="s">
        <v>58</v>
      </c>
    </row>
    <row r="93" spans="1:56" hidden="1" x14ac:dyDescent="0.25">
      <c r="A93" t="s">
        <v>55</v>
      </c>
      <c r="B93" t="s">
        <v>56</v>
      </c>
      <c r="C93" t="s">
        <v>158</v>
      </c>
      <c r="D93" t="s">
        <v>159</v>
      </c>
      <c r="E93" t="s">
        <v>160</v>
      </c>
      <c r="G93" t="s">
        <v>61</v>
      </c>
      <c r="H93">
        <v>1</v>
      </c>
      <c r="I93" t="s">
        <v>58</v>
      </c>
      <c r="J93">
        <v>1</v>
      </c>
      <c r="K93">
        <v>1</v>
      </c>
      <c r="L93">
        <v>0</v>
      </c>
      <c r="M93" t="s">
        <v>58</v>
      </c>
      <c r="N93" t="s">
        <v>58</v>
      </c>
      <c r="O93" t="s">
        <v>58</v>
      </c>
      <c r="P93">
        <v>10</v>
      </c>
      <c r="Q93" t="s">
        <v>58</v>
      </c>
      <c r="R93">
        <v>4100</v>
      </c>
      <c r="S93" t="s">
        <v>58</v>
      </c>
      <c r="T93" t="s">
        <v>58</v>
      </c>
      <c r="U93" t="s">
        <v>58</v>
      </c>
      <c r="V93">
        <v>23</v>
      </c>
      <c r="W93">
        <v>320</v>
      </c>
      <c r="X93" t="s">
        <v>58</v>
      </c>
      <c r="Y93" t="s">
        <v>58</v>
      </c>
      <c r="Z93" t="s">
        <v>58</v>
      </c>
      <c r="AA93">
        <v>3063</v>
      </c>
      <c r="AB93" t="s">
        <v>58</v>
      </c>
      <c r="AC93" t="s">
        <v>58</v>
      </c>
      <c r="AD93" t="s">
        <v>58</v>
      </c>
      <c r="AE93" t="s">
        <v>58</v>
      </c>
      <c r="AF93" t="s">
        <v>58</v>
      </c>
      <c r="AG93">
        <v>2</v>
      </c>
      <c r="AH93" t="s">
        <v>58</v>
      </c>
      <c r="AI93" t="s">
        <v>58</v>
      </c>
      <c r="AJ93">
        <v>676</v>
      </c>
      <c r="AK93" t="s">
        <v>58</v>
      </c>
      <c r="AL93">
        <v>5181</v>
      </c>
      <c r="AM93">
        <v>3</v>
      </c>
      <c r="AN93">
        <v>6824</v>
      </c>
      <c r="AO93">
        <v>1</v>
      </c>
      <c r="AP93">
        <v>4032</v>
      </c>
      <c r="AQ93">
        <v>3665</v>
      </c>
      <c r="AR93" t="s">
        <v>58</v>
      </c>
      <c r="AS93">
        <v>4.16</v>
      </c>
      <c r="AT93" t="s">
        <v>58</v>
      </c>
      <c r="AU93" t="s">
        <v>58</v>
      </c>
      <c r="AV93" t="s">
        <v>58</v>
      </c>
      <c r="AW93" t="s">
        <v>58</v>
      </c>
      <c r="AX93" t="s">
        <v>58</v>
      </c>
      <c r="AY93">
        <v>28.87</v>
      </c>
      <c r="AZ93">
        <v>19.05</v>
      </c>
      <c r="BA93">
        <v>1</v>
      </c>
      <c r="BB93">
        <v>4.2</v>
      </c>
      <c r="BC93">
        <v>0.02</v>
      </c>
      <c r="BD93">
        <v>0.49</v>
      </c>
    </row>
    <row r="94" spans="1:56" x14ac:dyDescent="0.25">
      <c r="A94" t="s">
        <v>55</v>
      </c>
      <c r="B94" t="s">
        <v>56</v>
      </c>
      <c r="C94" t="s">
        <v>161</v>
      </c>
      <c r="D94" t="s">
        <v>162</v>
      </c>
      <c r="E94" t="s">
        <v>163</v>
      </c>
      <c r="G94" t="s">
        <v>57</v>
      </c>
      <c r="H94" t="s">
        <v>58</v>
      </c>
      <c r="I94">
        <v>1</v>
      </c>
      <c r="J94" t="s">
        <v>58</v>
      </c>
      <c r="K94" t="s">
        <v>58</v>
      </c>
      <c r="L94">
        <v>13</v>
      </c>
      <c r="M94" t="s">
        <v>58</v>
      </c>
      <c r="N94" t="s">
        <v>58</v>
      </c>
      <c r="O94" t="s">
        <v>58</v>
      </c>
      <c r="P94" t="s">
        <v>58</v>
      </c>
      <c r="Q94">
        <v>12</v>
      </c>
      <c r="R94">
        <v>8528</v>
      </c>
      <c r="S94">
        <v>15</v>
      </c>
      <c r="T94" t="s">
        <v>58</v>
      </c>
      <c r="U94" t="s">
        <v>58</v>
      </c>
      <c r="V94">
        <v>414</v>
      </c>
      <c r="W94">
        <v>4879</v>
      </c>
      <c r="X94" t="s">
        <v>58</v>
      </c>
      <c r="Y94" t="s">
        <v>58</v>
      </c>
      <c r="Z94" t="s">
        <v>58</v>
      </c>
      <c r="AA94" t="s">
        <v>58</v>
      </c>
      <c r="AB94">
        <v>2731</v>
      </c>
      <c r="AC94">
        <v>3024</v>
      </c>
      <c r="AD94" t="s">
        <v>58</v>
      </c>
      <c r="AE94" t="s">
        <v>58</v>
      </c>
      <c r="AF94">
        <v>1</v>
      </c>
      <c r="AG94">
        <v>1</v>
      </c>
      <c r="AH94">
        <v>1</v>
      </c>
      <c r="AI94">
        <v>6935</v>
      </c>
      <c r="AJ94">
        <v>5808</v>
      </c>
      <c r="AK94">
        <v>2164</v>
      </c>
      <c r="AL94" t="s">
        <v>58</v>
      </c>
      <c r="AM94">
        <v>384</v>
      </c>
      <c r="AN94">
        <v>7682</v>
      </c>
      <c r="AO94" t="s">
        <v>58</v>
      </c>
      <c r="AP94">
        <v>895</v>
      </c>
      <c r="AQ94">
        <v>655</v>
      </c>
      <c r="AR94" t="s">
        <v>58</v>
      </c>
      <c r="AS94">
        <v>3.3</v>
      </c>
      <c r="AT94" t="s">
        <v>58</v>
      </c>
      <c r="AU94" t="s">
        <v>58</v>
      </c>
      <c r="AV94" t="s">
        <v>58</v>
      </c>
      <c r="AW94" t="s">
        <v>58</v>
      </c>
      <c r="AX94" t="s">
        <v>58</v>
      </c>
      <c r="AY94">
        <v>46.93</v>
      </c>
      <c r="AZ94">
        <v>26.88</v>
      </c>
      <c r="BA94">
        <v>6.41</v>
      </c>
      <c r="BB94">
        <v>3.46</v>
      </c>
      <c r="BC94">
        <v>0.2</v>
      </c>
      <c r="BD94">
        <v>3.46</v>
      </c>
    </row>
    <row r="95" spans="1:56" s="108" customFormat="1" x14ac:dyDescent="0.25">
      <c r="A95" s="108" t="s">
        <v>55</v>
      </c>
      <c r="B95" s="108" t="s">
        <v>56</v>
      </c>
      <c r="C95" s="108" t="s">
        <v>161</v>
      </c>
      <c r="D95" s="108" t="s">
        <v>162</v>
      </c>
      <c r="E95" s="108" t="s">
        <v>163</v>
      </c>
      <c r="F95" s="281">
        <v>340011295</v>
      </c>
      <c r="G95" s="108" t="s">
        <v>59</v>
      </c>
      <c r="H95" s="108" t="s">
        <v>58</v>
      </c>
      <c r="I95" s="108">
        <v>1</v>
      </c>
      <c r="J95" s="108" t="s">
        <v>58</v>
      </c>
      <c r="K95" s="108" t="s">
        <v>58</v>
      </c>
      <c r="L95" s="108" t="s">
        <v>58</v>
      </c>
      <c r="M95" s="108" t="s">
        <v>58</v>
      </c>
      <c r="N95" s="108" t="s">
        <v>58</v>
      </c>
      <c r="O95" s="108" t="s">
        <v>58</v>
      </c>
      <c r="P95" s="108" t="s">
        <v>58</v>
      </c>
      <c r="Q95" s="108" t="s">
        <v>58</v>
      </c>
      <c r="R95" s="108" t="s">
        <v>58</v>
      </c>
      <c r="S95" s="108" t="s">
        <v>58</v>
      </c>
      <c r="T95" s="108" t="s">
        <v>58</v>
      </c>
      <c r="U95" s="108" t="s">
        <v>58</v>
      </c>
      <c r="V95" s="108" t="s">
        <v>58</v>
      </c>
      <c r="W95" s="108" t="s">
        <v>58</v>
      </c>
      <c r="X95" s="108" t="s">
        <v>58</v>
      </c>
      <c r="Y95" s="108" t="s">
        <v>58</v>
      </c>
      <c r="Z95" s="108" t="s">
        <v>58</v>
      </c>
      <c r="AA95" s="108" t="s">
        <v>58</v>
      </c>
      <c r="AB95" s="108" t="s">
        <v>58</v>
      </c>
      <c r="AC95" s="108" t="s">
        <v>58</v>
      </c>
      <c r="AD95" s="108" t="s">
        <v>58</v>
      </c>
      <c r="AE95" s="108" t="s">
        <v>58</v>
      </c>
      <c r="AF95" s="108" t="s">
        <v>58</v>
      </c>
      <c r="AG95" s="108" t="s">
        <v>58</v>
      </c>
      <c r="AH95" s="108" t="s">
        <v>58</v>
      </c>
      <c r="AI95" s="108" t="s">
        <v>58</v>
      </c>
      <c r="AJ95" s="108" t="s">
        <v>58</v>
      </c>
      <c r="AK95" s="108" t="s">
        <v>58</v>
      </c>
      <c r="AL95" s="108" t="s">
        <v>58</v>
      </c>
      <c r="AM95" s="108" t="s">
        <v>58</v>
      </c>
      <c r="AN95" s="108" t="s">
        <v>58</v>
      </c>
      <c r="AO95" s="108" t="s">
        <v>58</v>
      </c>
      <c r="AP95" s="108">
        <v>1322</v>
      </c>
      <c r="AQ95" s="108">
        <v>1176</v>
      </c>
      <c r="AR95" s="108" t="s">
        <v>58</v>
      </c>
      <c r="AS95" s="108" t="s">
        <v>58</v>
      </c>
      <c r="AT95" s="108" t="s">
        <v>58</v>
      </c>
      <c r="AU95" s="108" t="s">
        <v>58</v>
      </c>
      <c r="AV95" s="108" t="s">
        <v>58</v>
      </c>
      <c r="AW95" s="108" t="s">
        <v>58</v>
      </c>
      <c r="AX95" s="108" t="s">
        <v>58</v>
      </c>
      <c r="AY95" s="108" t="s">
        <v>58</v>
      </c>
      <c r="AZ95" s="108" t="s">
        <v>58</v>
      </c>
      <c r="BA95" s="108" t="s">
        <v>58</v>
      </c>
      <c r="BB95" s="108" t="s">
        <v>58</v>
      </c>
      <c r="BC95" s="108" t="s">
        <v>58</v>
      </c>
      <c r="BD95" s="108" t="s">
        <v>58</v>
      </c>
    </row>
    <row r="96" spans="1:56" hidden="1" x14ac:dyDescent="0.25">
      <c r="A96" t="s">
        <v>55</v>
      </c>
      <c r="B96" t="s">
        <v>56</v>
      </c>
      <c r="C96" t="s">
        <v>161</v>
      </c>
      <c r="D96" t="s">
        <v>162</v>
      </c>
      <c r="E96" s="107" t="s">
        <v>163</v>
      </c>
      <c r="G96" t="s">
        <v>61</v>
      </c>
      <c r="H96">
        <v>1</v>
      </c>
      <c r="I96" t="s">
        <v>58</v>
      </c>
      <c r="J96" t="s">
        <v>58</v>
      </c>
      <c r="K96">
        <v>0</v>
      </c>
      <c r="L96">
        <v>13</v>
      </c>
      <c r="M96" t="s">
        <v>58</v>
      </c>
      <c r="N96" t="s">
        <v>58</v>
      </c>
      <c r="O96" t="s">
        <v>58</v>
      </c>
      <c r="P96" t="s">
        <v>58</v>
      </c>
      <c r="Q96">
        <v>12</v>
      </c>
      <c r="R96">
        <v>8528</v>
      </c>
      <c r="S96">
        <v>15</v>
      </c>
      <c r="T96" t="s">
        <v>58</v>
      </c>
      <c r="U96" t="s">
        <v>58</v>
      </c>
      <c r="V96">
        <v>414</v>
      </c>
      <c r="W96">
        <v>4879</v>
      </c>
      <c r="X96" t="s">
        <v>58</v>
      </c>
      <c r="Y96" t="s">
        <v>58</v>
      </c>
      <c r="Z96" t="s">
        <v>58</v>
      </c>
      <c r="AA96" t="s">
        <v>58</v>
      </c>
      <c r="AB96">
        <v>2731</v>
      </c>
      <c r="AC96">
        <v>3024</v>
      </c>
      <c r="AD96" t="s">
        <v>58</v>
      </c>
      <c r="AE96" t="s">
        <v>58</v>
      </c>
      <c r="AF96">
        <v>1</v>
      </c>
      <c r="AG96">
        <v>1</v>
      </c>
      <c r="AH96">
        <v>1</v>
      </c>
      <c r="AI96">
        <v>6935</v>
      </c>
      <c r="AJ96">
        <v>5808</v>
      </c>
      <c r="AK96">
        <v>2164</v>
      </c>
      <c r="AL96" t="s">
        <v>58</v>
      </c>
      <c r="AM96">
        <v>384</v>
      </c>
      <c r="AN96">
        <v>7682</v>
      </c>
      <c r="AO96" t="s">
        <v>58</v>
      </c>
      <c r="AP96">
        <v>2217</v>
      </c>
      <c r="AQ96">
        <v>1831</v>
      </c>
      <c r="AR96" t="s">
        <v>58</v>
      </c>
      <c r="AS96">
        <v>3.3</v>
      </c>
      <c r="AT96" t="s">
        <v>58</v>
      </c>
      <c r="AU96" t="s">
        <v>58</v>
      </c>
      <c r="AV96" t="s">
        <v>58</v>
      </c>
      <c r="AW96" t="s">
        <v>58</v>
      </c>
      <c r="AX96" t="s">
        <v>58</v>
      </c>
      <c r="AY96">
        <v>46.93</v>
      </c>
      <c r="AZ96">
        <v>26.88</v>
      </c>
      <c r="BA96">
        <v>6.41</v>
      </c>
      <c r="BB96">
        <v>3.46</v>
      </c>
      <c r="BC96">
        <v>0.2</v>
      </c>
      <c r="BD96">
        <v>3.46</v>
      </c>
    </row>
    <row r="97" spans="1:56" x14ac:dyDescent="0.25">
      <c r="A97" t="s">
        <v>55</v>
      </c>
      <c r="B97" t="s">
        <v>56</v>
      </c>
      <c r="C97" t="s">
        <v>164</v>
      </c>
      <c r="D97" t="s">
        <v>165</v>
      </c>
      <c r="E97" t="s">
        <v>166</v>
      </c>
      <c r="G97" t="s">
        <v>57</v>
      </c>
      <c r="H97" t="s">
        <v>58</v>
      </c>
      <c r="I97" t="s">
        <v>58</v>
      </c>
      <c r="J97" t="s">
        <v>58</v>
      </c>
      <c r="K97" t="s">
        <v>58</v>
      </c>
      <c r="L97">
        <v>70</v>
      </c>
      <c r="M97" t="s">
        <v>58</v>
      </c>
      <c r="N97" t="s">
        <v>58</v>
      </c>
      <c r="O97" t="s">
        <v>58</v>
      </c>
      <c r="P97" t="s">
        <v>58</v>
      </c>
      <c r="Q97" t="s">
        <v>58</v>
      </c>
      <c r="R97">
        <v>25550</v>
      </c>
      <c r="S97">
        <v>12</v>
      </c>
      <c r="T97" t="s">
        <v>58</v>
      </c>
      <c r="U97" t="s">
        <v>58</v>
      </c>
      <c r="V97">
        <v>228</v>
      </c>
      <c r="W97">
        <v>23846</v>
      </c>
      <c r="X97" t="s">
        <v>58</v>
      </c>
      <c r="Y97" t="s">
        <v>58</v>
      </c>
      <c r="Z97" t="s">
        <v>58</v>
      </c>
      <c r="AA97" t="s">
        <v>58</v>
      </c>
      <c r="AB97" t="s">
        <v>58</v>
      </c>
      <c r="AC97">
        <v>5259</v>
      </c>
      <c r="AD97" t="s">
        <v>58</v>
      </c>
      <c r="AE97" t="s">
        <v>58</v>
      </c>
      <c r="AF97" t="s">
        <v>58</v>
      </c>
      <c r="AG97" t="s">
        <v>58</v>
      </c>
      <c r="AH97" t="s">
        <v>58</v>
      </c>
      <c r="AI97" t="s">
        <v>58</v>
      </c>
      <c r="AJ97" t="s">
        <v>58</v>
      </c>
      <c r="AK97" t="s">
        <v>58</v>
      </c>
      <c r="AL97" t="s">
        <v>58</v>
      </c>
      <c r="AM97" t="s">
        <v>58</v>
      </c>
      <c r="AN97" t="s">
        <v>58</v>
      </c>
      <c r="AO97" t="s">
        <v>58</v>
      </c>
      <c r="AP97">
        <v>341</v>
      </c>
      <c r="AQ97" t="s">
        <v>58</v>
      </c>
      <c r="AR97" t="s">
        <v>58</v>
      </c>
      <c r="AS97">
        <v>3.6</v>
      </c>
      <c r="AT97" t="s">
        <v>58</v>
      </c>
      <c r="AU97">
        <v>0.8</v>
      </c>
      <c r="AV97">
        <v>0</v>
      </c>
      <c r="AW97">
        <v>1</v>
      </c>
      <c r="AX97" t="s">
        <v>58</v>
      </c>
      <c r="AY97">
        <v>32.51</v>
      </c>
      <c r="AZ97">
        <v>14.3</v>
      </c>
      <c r="BA97">
        <v>6.3</v>
      </c>
      <c r="BB97">
        <v>3</v>
      </c>
      <c r="BC97">
        <v>5.91</v>
      </c>
      <c r="BD97">
        <v>3</v>
      </c>
    </row>
    <row r="98" spans="1:56" hidden="1" x14ac:dyDescent="0.25">
      <c r="A98" t="s">
        <v>55</v>
      </c>
      <c r="B98" t="s">
        <v>56</v>
      </c>
      <c r="C98" t="s">
        <v>164</v>
      </c>
      <c r="D98" t="s">
        <v>165</v>
      </c>
      <c r="E98" t="s">
        <v>166</v>
      </c>
      <c r="G98" t="s">
        <v>61</v>
      </c>
      <c r="H98">
        <v>0</v>
      </c>
      <c r="I98" t="s">
        <v>58</v>
      </c>
      <c r="J98" t="s">
        <v>58</v>
      </c>
      <c r="K98">
        <v>0</v>
      </c>
      <c r="L98">
        <v>70</v>
      </c>
      <c r="M98" t="s">
        <v>58</v>
      </c>
      <c r="N98" t="s">
        <v>58</v>
      </c>
      <c r="O98" t="s">
        <v>58</v>
      </c>
      <c r="P98" t="s">
        <v>58</v>
      </c>
      <c r="Q98" t="s">
        <v>58</v>
      </c>
      <c r="R98">
        <v>25550</v>
      </c>
      <c r="S98">
        <v>12</v>
      </c>
      <c r="T98" t="s">
        <v>58</v>
      </c>
      <c r="U98" t="s">
        <v>58</v>
      </c>
      <c r="V98">
        <v>228</v>
      </c>
      <c r="W98">
        <v>23846</v>
      </c>
      <c r="X98" t="s">
        <v>58</v>
      </c>
      <c r="Y98" t="s">
        <v>58</v>
      </c>
      <c r="Z98" t="s">
        <v>58</v>
      </c>
      <c r="AA98" t="s">
        <v>58</v>
      </c>
      <c r="AB98" t="s">
        <v>58</v>
      </c>
      <c r="AC98">
        <v>5259</v>
      </c>
      <c r="AD98" t="s">
        <v>58</v>
      </c>
      <c r="AE98" t="s">
        <v>58</v>
      </c>
      <c r="AF98" t="s">
        <v>58</v>
      </c>
      <c r="AG98" t="s">
        <v>58</v>
      </c>
      <c r="AH98" t="s">
        <v>58</v>
      </c>
      <c r="AI98" t="s">
        <v>58</v>
      </c>
      <c r="AJ98" t="s">
        <v>58</v>
      </c>
      <c r="AK98" t="s">
        <v>58</v>
      </c>
      <c r="AL98" t="s">
        <v>58</v>
      </c>
      <c r="AM98" t="s">
        <v>58</v>
      </c>
      <c r="AN98" t="s">
        <v>58</v>
      </c>
      <c r="AO98" t="s">
        <v>58</v>
      </c>
      <c r="AP98">
        <v>341</v>
      </c>
      <c r="AQ98" t="s">
        <v>58</v>
      </c>
      <c r="AR98" t="s">
        <v>58</v>
      </c>
      <c r="AS98">
        <v>3.6</v>
      </c>
      <c r="AT98" t="s">
        <v>58</v>
      </c>
      <c r="AU98">
        <v>0.8</v>
      </c>
      <c r="AV98" t="s">
        <v>58</v>
      </c>
      <c r="AW98" t="s">
        <v>58</v>
      </c>
      <c r="AX98" t="s">
        <v>58</v>
      </c>
      <c r="AY98">
        <v>32.51</v>
      </c>
      <c r="AZ98">
        <v>14.3</v>
      </c>
      <c r="BA98">
        <v>6.3</v>
      </c>
      <c r="BB98">
        <v>3</v>
      </c>
      <c r="BC98">
        <v>5.91</v>
      </c>
      <c r="BD98">
        <v>3</v>
      </c>
    </row>
    <row r="99" spans="1:56" x14ac:dyDescent="0.25">
      <c r="A99" t="s">
        <v>55</v>
      </c>
      <c r="B99" t="s">
        <v>56</v>
      </c>
      <c r="C99" t="s">
        <v>167</v>
      </c>
      <c r="D99" t="s">
        <v>168</v>
      </c>
      <c r="E99" t="s">
        <v>160</v>
      </c>
      <c r="G99" t="s">
        <v>57</v>
      </c>
      <c r="H99" t="s">
        <v>58</v>
      </c>
      <c r="I99">
        <v>3</v>
      </c>
      <c r="J99" t="s">
        <v>58</v>
      </c>
      <c r="K99" t="s">
        <v>58</v>
      </c>
      <c r="L99">
        <v>109</v>
      </c>
      <c r="M99">
        <v>5</v>
      </c>
      <c r="N99" t="s">
        <v>58</v>
      </c>
      <c r="O99" t="s">
        <v>58</v>
      </c>
      <c r="P99" t="s">
        <v>58</v>
      </c>
      <c r="Q99" t="s">
        <v>58</v>
      </c>
      <c r="R99">
        <v>39785</v>
      </c>
      <c r="S99">
        <v>44</v>
      </c>
      <c r="T99">
        <v>1</v>
      </c>
      <c r="U99" t="s">
        <v>58</v>
      </c>
      <c r="V99">
        <v>943</v>
      </c>
      <c r="W99">
        <v>35941</v>
      </c>
      <c r="X99">
        <v>830</v>
      </c>
      <c r="Y99" t="s">
        <v>58</v>
      </c>
      <c r="Z99" t="s">
        <v>58</v>
      </c>
      <c r="AA99" t="s">
        <v>58</v>
      </c>
      <c r="AB99" t="s">
        <v>58</v>
      </c>
      <c r="AC99">
        <v>23663</v>
      </c>
      <c r="AD99">
        <v>11</v>
      </c>
      <c r="AE99" t="s">
        <v>58</v>
      </c>
      <c r="AF99">
        <v>5</v>
      </c>
      <c r="AG99">
        <v>1</v>
      </c>
      <c r="AH99" t="s">
        <v>58</v>
      </c>
      <c r="AI99">
        <v>22618</v>
      </c>
      <c r="AJ99">
        <v>942</v>
      </c>
      <c r="AK99" t="s">
        <v>58</v>
      </c>
      <c r="AL99">
        <v>4657</v>
      </c>
      <c r="AM99">
        <v>68</v>
      </c>
      <c r="AN99">
        <v>37</v>
      </c>
      <c r="AO99" t="s">
        <v>58</v>
      </c>
      <c r="AP99">
        <v>4421</v>
      </c>
      <c r="AQ99">
        <v>3791</v>
      </c>
      <c r="AR99" t="s">
        <v>58</v>
      </c>
      <c r="AS99">
        <v>14.1</v>
      </c>
      <c r="AT99" t="s">
        <v>58</v>
      </c>
      <c r="AU99">
        <v>0.84</v>
      </c>
      <c r="AV99">
        <v>1</v>
      </c>
      <c r="AW99">
        <v>0</v>
      </c>
      <c r="AX99" t="s">
        <v>58</v>
      </c>
      <c r="AY99">
        <v>193.69</v>
      </c>
      <c r="AZ99">
        <v>115.54</v>
      </c>
      <c r="BA99">
        <v>28.54</v>
      </c>
      <c r="BB99">
        <v>8.92</v>
      </c>
      <c r="BC99">
        <v>6.64</v>
      </c>
      <c r="BD99">
        <v>7.27</v>
      </c>
    </row>
    <row r="100" spans="1:56" s="108" customFormat="1" x14ac:dyDescent="0.25">
      <c r="A100" s="108" t="s">
        <v>55</v>
      </c>
      <c r="B100" s="108" t="s">
        <v>56</v>
      </c>
      <c r="C100" s="108" t="s">
        <v>167</v>
      </c>
      <c r="D100" s="108" t="s">
        <v>168</v>
      </c>
      <c r="E100" s="108" t="s">
        <v>160</v>
      </c>
      <c r="F100" s="281">
        <v>340780055</v>
      </c>
      <c r="G100" s="108" t="s">
        <v>59</v>
      </c>
      <c r="H100" s="108" t="s">
        <v>58</v>
      </c>
      <c r="I100" s="108">
        <v>1</v>
      </c>
      <c r="J100" s="108" t="s">
        <v>58</v>
      </c>
      <c r="K100" s="108" t="s">
        <v>58</v>
      </c>
      <c r="L100" s="108" t="s">
        <v>58</v>
      </c>
      <c r="M100" s="108">
        <v>2</v>
      </c>
      <c r="N100" s="108" t="s">
        <v>58</v>
      </c>
      <c r="O100" s="108" t="s">
        <v>58</v>
      </c>
      <c r="P100" s="108" t="s">
        <v>58</v>
      </c>
      <c r="Q100" s="108" t="s">
        <v>58</v>
      </c>
      <c r="R100" s="108" t="s">
        <v>58</v>
      </c>
      <c r="S100" s="108">
        <v>12</v>
      </c>
      <c r="T100" s="108" t="s">
        <v>58</v>
      </c>
      <c r="U100" s="108" t="s">
        <v>58</v>
      </c>
      <c r="V100" s="108" t="s">
        <v>58</v>
      </c>
      <c r="W100" s="108" t="s">
        <v>58</v>
      </c>
      <c r="X100" s="108">
        <v>118</v>
      </c>
      <c r="Y100" s="108" t="s">
        <v>58</v>
      </c>
      <c r="Z100" s="108" t="s">
        <v>58</v>
      </c>
      <c r="AA100" s="108" t="s">
        <v>58</v>
      </c>
      <c r="AB100" s="108" t="s">
        <v>58</v>
      </c>
      <c r="AC100" s="108">
        <v>2776</v>
      </c>
      <c r="AD100" s="108" t="s">
        <v>58</v>
      </c>
      <c r="AE100" s="108" t="s">
        <v>58</v>
      </c>
      <c r="AF100" s="108">
        <v>4</v>
      </c>
      <c r="AG100" s="108">
        <v>1</v>
      </c>
      <c r="AH100" s="108" t="s">
        <v>58</v>
      </c>
      <c r="AI100" s="108">
        <v>15881</v>
      </c>
      <c r="AJ100" s="108">
        <v>51</v>
      </c>
      <c r="AK100" s="108" t="s">
        <v>58</v>
      </c>
      <c r="AL100" s="108">
        <v>332</v>
      </c>
      <c r="AM100" s="108" t="s">
        <v>58</v>
      </c>
      <c r="AN100" s="108">
        <v>323</v>
      </c>
      <c r="AO100" s="108">
        <v>3</v>
      </c>
      <c r="AP100" s="108">
        <v>1586</v>
      </c>
      <c r="AQ100" s="108">
        <v>1497</v>
      </c>
      <c r="AR100" s="108" t="s">
        <v>58</v>
      </c>
      <c r="AS100" s="108">
        <v>2.89</v>
      </c>
      <c r="AT100" s="108" t="s">
        <v>58</v>
      </c>
      <c r="AU100" s="108" t="s">
        <v>58</v>
      </c>
      <c r="AV100" s="108">
        <v>1</v>
      </c>
      <c r="AW100" s="108">
        <v>0</v>
      </c>
      <c r="AX100" s="108" t="s">
        <v>58</v>
      </c>
      <c r="AY100" s="108">
        <v>39.69</v>
      </c>
      <c r="AZ100" s="108">
        <v>13.64</v>
      </c>
      <c r="BA100" s="108" t="s">
        <v>58</v>
      </c>
      <c r="BB100" s="108">
        <v>9.48</v>
      </c>
      <c r="BC100" s="108">
        <v>3.15</v>
      </c>
      <c r="BD100" s="108">
        <v>10.41</v>
      </c>
    </row>
    <row r="101" spans="1:56" hidden="1" x14ac:dyDescent="0.25">
      <c r="A101" t="s">
        <v>55</v>
      </c>
      <c r="B101" t="s">
        <v>56</v>
      </c>
      <c r="C101" t="s">
        <v>167</v>
      </c>
      <c r="D101" t="s">
        <v>168</v>
      </c>
      <c r="E101" t="s">
        <v>160</v>
      </c>
      <c r="G101" t="s">
        <v>61</v>
      </c>
      <c r="H101">
        <v>1</v>
      </c>
      <c r="I101" t="s">
        <v>58</v>
      </c>
      <c r="J101">
        <v>1</v>
      </c>
      <c r="K101">
        <v>1</v>
      </c>
      <c r="L101">
        <v>109</v>
      </c>
      <c r="M101">
        <v>7</v>
      </c>
      <c r="N101" t="s">
        <v>58</v>
      </c>
      <c r="O101" t="s">
        <v>58</v>
      </c>
      <c r="P101" t="s">
        <v>58</v>
      </c>
      <c r="Q101" t="s">
        <v>58</v>
      </c>
      <c r="R101">
        <v>39785</v>
      </c>
      <c r="S101">
        <v>56</v>
      </c>
      <c r="T101">
        <v>1</v>
      </c>
      <c r="U101" t="s">
        <v>58</v>
      </c>
      <c r="V101">
        <v>943</v>
      </c>
      <c r="W101">
        <v>35941</v>
      </c>
      <c r="X101">
        <v>948</v>
      </c>
      <c r="Y101" t="s">
        <v>58</v>
      </c>
      <c r="Z101" t="s">
        <v>58</v>
      </c>
      <c r="AA101" t="s">
        <v>58</v>
      </c>
      <c r="AB101" t="s">
        <v>58</v>
      </c>
      <c r="AC101">
        <v>26439</v>
      </c>
      <c r="AD101">
        <v>11</v>
      </c>
      <c r="AE101" t="s">
        <v>58</v>
      </c>
      <c r="AF101">
        <v>9</v>
      </c>
      <c r="AG101">
        <v>2</v>
      </c>
      <c r="AH101" t="s">
        <v>58</v>
      </c>
      <c r="AI101">
        <v>38499</v>
      </c>
      <c r="AJ101">
        <v>993</v>
      </c>
      <c r="AK101" t="s">
        <v>58</v>
      </c>
      <c r="AL101">
        <v>4989</v>
      </c>
      <c r="AM101">
        <v>68</v>
      </c>
      <c r="AN101">
        <v>360</v>
      </c>
      <c r="AO101">
        <v>3</v>
      </c>
      <c r="AP101">
        <v>5970</v>
      </c>
      <c r="AQ101">
        <v>4933</v>
      </c>
      <c r="AR101" t="s">
        <v>58</v>
      </c>
      <c r="AS101">
        <v>16.989999999999998</v>
      </c>
      <c r="AT101" t="s">
        <v>58</v>
      </c>
      <c r="AU101">
        <v>0.84</v>
      </c>
      <c r="AV101" t="s">
        <v>58</v>
      </c>
      <c r="AW101" t="s">
        <v>58</v>
      </c>
      <c r="AX101" t="s">
        <v>58</v>
      </c>
      <c r="AY101">
        <v>233.38</v>
      </c>
      <c r="AZ101">
        <v>129.18</v>
      </c>
      <c r="BA101">
        <v>28.54</v>
      </c>
      <c r="BB101">
        <v>18.399999999999999</v>
      </c>
      <c r="BC101">
        <v>9.7899999999999991</v>
      </c>
      <c r="BD101">
        <v>17.68</v>
      </c>
    </row>
    <row r="102" spans="1:56" x14ac:dyDescent="0.25">
      <c r="A102" t="s">
        <v>55</v>
      </c>
      <c r="B102" t="s">
        <v>56</v>
      </c>
      <c r="C102" t="s">
        <v>169</v>
      </c>
      <c r="D102" t="s">
        <v>170</v>
      </c>
      <c r="E102" t="s">
        <v>171</v>
      </c>
      <c r="G102" t="s">
        <v>57</v>
      </c>
      <c r="H102" t="s">
        <v>58</v>
      </c>
      <c r="I102" t="s">
        <v>58</v>
      </c>
      <c r="J102" t="s">
        <v>58</v>
      </c>
      <c r="K102" t="s">
        <v>58</v>
      </c>
      <c r="L102">
        <v>95</v>
      </c>
      <c r="M102" t="s">
        <v>58</v>
      </c>
      <c r="N102" t="s">
        <v>58</v>
      </c>
      <c r="O102" t="s">
        <v>58</v>
      </c>
      <c r="P102" t="s">
        <v>58</v>
      </c>
      <c r="Q102" t="s">
        <v>58</v>
      </c>
      <c r="R102">
        <v>40190</v>
      </c>
      <c r="S102">
        <v>15</v>
      </c>
      <c r="T102" t="s">
        <v>58</v>
      </c>
      <c r="U102" t="s">
        <v>58</v>
      </c>
      <c r="V102">
        <v>796</v>
      </c>
      <c r="W102">
        <v>40190</v>
      </c>
      <c r="X102" t="s">
        <v>58</v>
      </c>
      <c r="Y102" t="s">
        <v>58</v>
      </c>
      <c r="Z102" t="s">
        <v>58</v>
      </c>
      <c r="AA102" t="s">
        <v>58</v>
      </c>
      <c r="AB102" t="s">
        <v>58</v>
      </c>
      <c r="AC102">
        <v>6616</v>
      </c>
      <c r="AD102" t="s">
        <v>58</v>
      </c>
      <c r="AE102" t="s">
        <v>58</v>
      </c>
      <c r="AF102" t="s">
        <v>58</v>
      </c>
      <c r="AG102" t="s">
        <v>58</v>
      </c>
      <c r="AH102" t="s">
        <v>58</v>
      </c>
      <c r="AI102" t="s">
        <v>58</v>
      </c>
      <c r="AJ102" t="s">
        <v>58</v>
      </c>
      <c r="AK102" t="s">
        <v>58</v>
      </c>
      <c r="AL102" t="s">
        <v>58</v>
      </c>
      <c r="AM102" t="s">
        <v>58</v>
      </c>
      <c r="AN102" t="s">
        <v>58</v>
      </c>
      <c r="AO102" t="s">
        <v>58</v>
      </c>
      <c r="AP102">
        <v>748</v>
      </c>
      <c r="AQ102" t="s">
        <v>58</v>
      </c>
      <c r="AR102">
        <v>7</v>
      </c>
      <c r="AS102">
        <v>0.2</v>
      </c>
      <c r="AT102" t="s">
        <v>58</v>
      </c>
      <c r="AU102">
        <v>1.2</v>
      </c>
      <c r="AV102">
        <v>0</v>
      </c>
      <c r="AW102">
        <v>0</v>
      </c>
      <c r="AX102" t="s">
        <v>58</v>
      </c>
      <c r="AY102" t="s">
        <v>58</v>
      </c>
      <c r="AZ102">
        <v>32</v>
      </c>
      <c r="BA102">
        <v>13.3</v>
      </c>
      <c r="BB102">
        <v>1.8</v>
      </c>
      <c r="BC102">
        <v>1</v>
      </c>
      <c r="BD102">
        <v>3.9</v>
      </c>
    </row>
    <row r="103" spans="1:56" hidden="1" x14ac:dyDescent="0.25">
      <c r="A103" t="s">
        <v>55</v>
      </c>
      <c r="B103" t="s">
        <v>56</v>
      </c>
      <c r="C103" t="s">
        <v>169</v>
      </c>
      <c r="D103" t="s">
        <v>170</v>
      </c>
      <c r="E103" t="s">
        <v>171</v>
      </c>
      <c r="G103" t="s">
        <v>61</v>
      </c>
      <c r="H103">
        <v>0</v>
      </c>
      <c r="I103" t="s">
        <v>58</v>
      </c>
      <c r="J103" t="s">
        <v>58</v>
      </c>
      <c r="K103">
        <v>0</v>
      </c>
      <c r="L103">
        <v>95</v>
      </c>
      <c r="M103" t="s">
        <v>58</v>
      </c>
      <c r="N103" t="s">
        <v>58</v>
      </c>
      <c r="O103" t="s">
        <v>58</v>
      </c>
      <c r="P103" t="s">
        <v>58</v>
      </c>
      <c r="Q103" t="s">
        <v>58</v>
      </c>
      <c r="R103">
        <v>40190</v>
      </c>
      <c r="S103">
        <v>15</v>
      </c>
      <c r="T103" t="s">
        <v>58</v>
      </c>
      <c r="U103" t="s">
        <v>58</v>
      </c>
      <c r="V103">
        <v>796</v>
      </c>
      <c r="W103">
        <v>40190</v>
      </c>
      <c r="X103" t="s">
        <v>58</v>
      </c>
      <c r="Y103" t="s">
        <v>58</v>
      </c>
      <c r="Z103" t="s">
        <v>58</v>
      </c>
      <c r="AA103" t="s">
        <v>58</v>
      </c>
      <c r="AB103" t="s">
        <v>58</v>
      </c>
      <c r="AC103">
        <v>6616</v>
      </c>
      <c r="AD103" t="s">
        <v>58</v>
      </c>
      <c r="AE103" t="s">
        <v>58</v>
      </c>
      <c r="AF103" t="s">
        <v>58</v>
      </c>
      <c r="AG103" t="s">
        <v>58</v>
      </c>
      <c r="AH103" t="s">
        <v>58</v>
      </c>
      <c r="AI103" t="s">
        <v>58</v>
      </c>
      <c r="AJ103" t="s">
        <v>58</v>
      </c>
      <c r="AK103" t="s">
        <v>58</v>
      </c>
      <c r="AL103" t="s">
        <v>58</v>
      </c>
      <c r="AM103" t="s">
        <v>58</v>
      </c>
      <c r="AN103" t="s">
        <v>58</v>
      </c>
      <c r="AO103" t="s">
        <v>58</v>
      </c>
      <c r="AP103">
        <v>748</v>
      </c>
      <c r="AQ103" t="s">
        <v>58</v>
      </c>
      <c r="AR103">
        <v>7</v>
      </c>
      <c r="AS103">
        <v>0.2</v>
      </c>
      <c r="AT103" t="s">
        <v>58</v>
      </c>
      <c r="AU103">
        <v>1.2</v>
      </c>
      <c r="AV103" t="s">
        <v>58</v>
      </c>
      <c r="AW103" t="s">
        <v>58</v>
      </c>
      <c r="AX103" t="s">
        <v>58</v>
      </c>
      <c r="AY103" t="s">
        <v>58</v>
      </c>
      <c r="AZ103">
        <v>32</v>
      </c>
      <c r="BA103">
        <v>13.3</v>
      </c>
      <c r="BB103">
        <v>1.8</v>
      </c>
      <c r="BC103">
        <v>1</v>
      </c>
      <c r="BD103">
        <v>3.9</v>
      </c>
    </row>
    <row r="104" spans="1:56" x14ac:dyDescent="0.25">
      <c r="A104" t="s">
        <v>55</v>
      </c>
      <c r="B104" t="s">
        <v>56</v>
      </c>
      <c r="C104" t="s">
        <v>172</v>
      </c>
      <c r="D104" t="s">
        <v>173</v>
      </c>
      <c r="E104" t="s">
        <v>174</v>
      </c>
      <c r="G104" t="s">
        <v>57</v>
      </c>
      <c r="H104" t="s">
        <v>58</v>
      </c>
      <c r="I104">
        <v>7</v>
      </c>
      <c r="J104" t="s">
        <v>58</v>
      </c>
      <c r="K104" t="s">
        <v>58</v>
      </c>
      <c r="L104">
        <v>198</v>
      </c>
      <c r="M104">
        <v>23</v>
      </c>
      <c r="N104">
        <v>7</v>
      </c>
      <c r="O104" t="s">
        <v>58</v>
      </c>
      <c r="P104" t="s">
        <v>58</v>
      </c>
      <c r="Q104" t="s">
        <v>58</v>
      </c>
      <c r="R104">
        <v>77961</v>
      </c>
      <c r="S104">
        <v>118</v>
      </c>
      <c r="T104" t="s">
        <v>58</v>
      </c>
      <c r="U104" t="s">
        <v>58</v>
      </c>
      <c r="V104">
        <v>2264</v>
      </c>
      <c r="W104">
        <v>69532</v>
      </c>
      <c r="X104">
        <v>515</v>
      </c>
      <c r="Y104">
        <v>1312</v>
      </c>
      <c r="Z104" t="s">
        <v>58</v>
      </c>
      <c r="AA104" t="s">
        <v>58</v>
      </c>
      <c r="AB104" t="s">
        <v>58</v>
      </c>
      <c r="AC104">
        <v>25262</v>
      </c>
      <c r="AD104" t="s">
        <v>58</v>
      </c>
      <c r="AE104" t="s">
        <v>58</v>
      </c>
      <c r="AF104">
        <v>9</v>
      </c>
      <c r="AG104">
        <v>16</v>
      </c>
      <c r="AH104">
        <v>14</v>
      </c>
      <c r="AI104">
        <v>48512</v>
      </c>
      <c r="AJ104">
        <v>62955</v>
      </c>
      <c r="AK104">
        <v>36262</v>
      </c>
      <c r="AL104">
        <v>12708</v>
      </c>
      <c r="AM104">
        <v>6430</v>
      </c>
      <c r="AN104">
        <v>4194</v>
      </c>
      <c r="AO104">
        <v>180</v>
      </c>
      <c r="AP104">
        <v>14750</v>
      </c>
      <c r="AQ104">
        <v>12359</v>
      </c>
      <c r="AR104" t="s">
        <v>58</v>
      </c>
      <c r="AS104">
        <v>37.21</v>
      </c>
      <c r="AT104" t="s">
        <v>58</v>
      </c>
      <c r="AU104">
        <v>2.1</v>
      </c>
      <c r="AV104">
        <v>0</v>
      </c>
      <c r="AW104">
        <v>1</v>
      </c>
      <c r="AX104" t="s">
        <v>58</v>
      </c>
      <c r="AY104">
        <v>510.04</v>
      </c>
      <c r="AZ104">
        <v>360.41</v>
      </c>
      <c r="BA104">
        <v>72.650000000000006</v>
      </c>
      <c r="BB104">
        <v>28.97</v>
      </c>
      <c r="BC104">
        <v>2.0099999999999998</v>
      </c>
      <c r="BD104">
        <v>21.68</v>
      </c>
    </row>
    <row r="105" spans="1:56" x14ac:dyDescent="0.25">
      <c r="A105" t="s">
        <v>55</v>
      </c>
      <c r="B105" t="s">
        <v>56</v>
      </c>
      <c r="C105" t="s">
        <v>172</v>
      </c>
      <c r="D105" t="s">
        <v>173</v>
      </c>
      <c r="E105" t="s">
        <v>174</v>
      </c>
      <c r="F105" s="273">
        <v>340780477</v>
      </c>
      <c r="G105" t="s">
        <v>59</v>
      </c>
      <c r="H105" t="s">
        <v>58</v>
      </c>
      <c r="I105">
        <v>1</v>
      </c>
      <c r="J105" t="s">
        <v>58</v>
      </c>
      <c r="K105" t="s">
        <v>58</v>
      </c>
      <c r="L105" t="s">
        <v>58</v>
      </c>
      <c r="M105">
        <v>2</v>
      </c>
      <c r="N105" t="s">
        <v>58</v>
      </c>
      <c r="O105" t="s">
        <v>58</v>
      </c>
      <c r="P105" t="s">
        <v>58</v>
      </c>
      <c r="Q105" t="s">
        <v>58</v>
      </c>
      <c r="R105" t="s">
        <v>58</v>
      </c>
      <c r="S105">
        <v>32</v>
      </c>
      <c r="T105" t="s">
        <v>58</v>
      </c>
      <c r="U105" t="s">
        <v>58</v>
      </c>
      <c r="V105" t="s">
        <v>58</v>
      </c>
      <c r="W105" t="s">
        <v>58</v>
      </c>
      <c r="X105">
        <v>80</v>
      </c>
      <c r="Y105" t="s">
        <v>58</v>
      </c>
      <c r="Z105" t="s">
        <v>58</v>
      </c>
      <c r="AA105" t="s">
        <v>58</v>
      </c>
      <c r="AB105" t="s">
        <v>58</v>
      </c>
      <c r="AC105">
        <v>4255</v>
      </c>
      <c r="AD105" t="s">
        <v>58</v>
      </c>
      <c r="AE105" t="s">
        <v>58</v>
      </c>
      <c r="AF105">
        <v>1</v>
      </c>
      <c r="AG105">
        <v>2</v>
      </c>
      <c r="AH105" t="s">
        <v>58</v>
      </c>
      <c r="AI105">
        <v>2271</v>
      </c>
      <c r="AJ105">
        <v>23472</v>
      </c>
      <c r="AK105" t="s">
        <v>58</v>
      </c>
      <c r="AL105">
        <v>23</v>
      </c>
      <c r="AM105">
        <v>14</v>
      </c>
      <c r="AN105" t="s">
        <v>58</v>
      </c>
      <c r="AO105">
        <v>38</v>
      </c>
      <c r="AP105">
        <v>4845</v>
      </c>
      <c r="AQ105">
        <v>3751</v>
      </c>
      <c r="AR105" t="s">
        <v>58</v>
      </c>
      <c r="AS105">
        <v>9.93</v>
      </c>
      <c r="AT105" t="s">
        <v>58</v>
      </c>
      <c r="AU105">
        <v>0.48</v>
      </c>
      <c r="AV105">
        <v>0</v>
      </c>
      <c r="AW105">
        <v>1</v>
      </c>
      <c r="AX105" t="s">
        <v>58</v>
      </c>
      <c r="AY105">
        <v>65.72</v>
      </c>
      <c r="AZ105">
        <v>28.61</v>
      </c>
      <c r="BA105">
        <v>2.63</v>
      </c>
      <c r="BB105">
        <v>13</v>
      </c>
      <c r="BC105">
        <v>3.87</v>
      </c>
      <c r="BD105">
        <v>9.02</v>
      </c>
    </row>
    <row r="106" spans="1:56" x14ac:dyDescent="0.25">
      <c r="A106" t="s">
        <v>55</v>
      </c>
      <c r="B106" t="s">
        <v>56</v>
      </c>
      <c r="C106" t="s">
        <v>172</v>
      </c>
      <c r="D106" t="s">
        <v>173</v>
      </c>
      <c r="E106" t="s">
        <v>174</v>
      </c>
      <c r="F106" s="273">
        <v>340780477</v>
      </c>
      <c r="G106" t="s">
        <v>60</v>
      </c>
      <c r="H106" t="s">
        <v>58</v>
      </c>
      <c r="I106" t="s">
        <v>58</v>
      </c>
      <c r="J106" t="s">
        <v>58</v>
      </c>
      <c r="K106" t="s">
        <v>58</v>
      </c>
      <c r="L106" t="s">
        <v>58</v>
      </c>
      <c r="M106" t="s">
        <v>58</v>
      </c>
      <c r="N106" t="s">
        <v>58</v>
      </c>
      <c r="O106" t="s">
        <v>58</v>
      </c>
      <c r="P106" t="s">
        <v>58</v>
      </c>
      <c r="Q106" t="s">
        <v>58</v>
      </c>
      <c r="R106" t="s">
        <v>58</v>
      </c>
      <c r="S106" t="s">
        <v>58</v>
      </c>
      <c r="T106" t="s">
        <v>58</v>
      </c>
      <c r="U106" t="s">
        <v>58</v>
      </c>
      <c r="V106" t="s">
        <v>58</v>
      </c>
      <c r="W106" t="s">
        <v>58</v>
      </c>
      <c r="X106" t="s">
        <v>58</v>
      </c>
      <c r="Y106" t="s">
        <v>58</v>
      </c>
      <c r="Z106" t="s">
        <v>58</v>
      </c>
      <c r="AA106" t="s">
        <v>58</v>
      </c>
      <c r="AB106" t="s">
        <v>58</v>
      </c>
      <c r="AC106" t="s">
        <v>58</v>
      </c>
      <c r="AD106" t="s">
        <v>58</v>
      </c>
      <c r="AE106" t="s">
        <v>58</v>
      </c>
      <c r="AF106" t="s">
        <v>58</v>
      </c>
      <c r="AG106" t="s">
        <v>58</v>
      </c>
      <c r="AH106" t="s">
        <v>58</v>
      </c>
      <c r="AI106" t="s">
        <v>58</v>
      </c>
      <c r="AJ106" t="s">
        <v>58</v>
      </c>
      <c r="AK106" t="s">
        <v>58</v>
      </c>
      <c r="AL106">
        <v>13567</v>
      </c>
      <c r="AM106" t="s">
        <v>58</v>
      </c>
      <c r="AN106" t="s">
        <v>58</v>
      </c>
      <c r="AO106" t="s">
        <v>58</v>
      </c>
      <c r="AP106">
        <v>2012</v>
      </c>
      <c r="AQ106">
        <v>1937</v>
      </c>
      <c r="AR106" t="s">
        <v>58</v>
      </c>
      <c r="AS106" t="s">
        <v>58</v>
      </c>
      <c r="AT106" t="s">
        <v>58</v>
      </c>
      <c r="AU106" t="s">
        <v>58</v>
      </c>
      <c r="AV106" t="s">
        <v>58</v>
      </c>
      <c r="AW106" t="s">
        <v>58</v>
      </c>
      <c r="AX106" t="s">
        <v>58</v>
      </c>
      <c r="AY106" t="s">
        <v>58</v>
      </c>
      <c r="AZ106" t="s">
        <v>58</v>
      </c>
      <c r="BA106" t="s">
        <v>58</v>
      </c>
      <c r="BB106" t="s">
        <v>58</v>
      </c>
      <c r="BC106" t="s">
        <v>58</v>
      </c>
      <c r="BD106" t="s">
        <v>58</v>
      </c>
    </row>
    <row r="107" spans="1:56" hidden="1" x14ac:dyDescent="0.25">
      <c r="A107" t="s">
        <v>55</v>
      </c>
      <c r="B107" t="s">
        <v>56</v>
      </c>
      <c r="C107" t="s">
        <v>172</v>
      </c>
      <c r="D107" t="s">
        <v>173</v>
      </c>
      <c r="E107" t="s">
        <v>174</v>
      </c>
      <c r="G107" t="s">
        <v>61</v>
      </c>
      <c r="H107">
        <v>1</v>
      </c>
      <c r="I107" t="s">
        <v>58</v>
      </c>
      <c r="J107">
        <v>9</v>
      </c>
      <c r="K107">
        <v>0</v>
      </c>
      <c r="L107">
        <v>198</v>
      </c>
      <c r="M107">
        <v>25</v>
      </c>
      <c r="N107">
        <v>7</v>
      </c>
      <c r="O107" t="s">
        <v>58</v>
      </c>
      <c r="P107" t="s">
        <v>58</v>
      </c>
      <c r="Q107" t="s">
        <v>58</v>
      </c>
      <c r="R107">
        <v>77961</v>
      </c>
      <c r="S107">
        <v>150</v>
      </c>
      <c r="T107" t="s">
        <v>58</v>
      </c>
      <c r="U107" t="s">
        <v>58</v>
      </c>
      <c r="V107">
        <v>2264</v>
      </c>
      <c r="W107">
        <v>69532</v>
      </c>
      <c r="X107">
        <v>595</v>
      </c>
      <c r="Y107">
        <v>1312</v>
      </c>
      <c r="Z107" t="s">
        <v>58</v>
      </c>
      <c r="AA107" t="s">
        <v>58</v>
      </c>
      <c r="AB107" t="s">
        <v>58</v>
      </c>
      <c r="AC107">
        <v>29517</v>
      </c>
      <c r="AD107" t="s">
        <v>58</v>
      </c>
      <c r="AE107" t="s">
        <v>58</v>
      </c>
      <c r="AF107">
        <v>10</v>
      </c>
      <c r="AG107">
        <v>18</v>
      </c>
      <c r="AH107">
        <v>14</v>
      </c>
      <c r="AI107">
        <v>50783</v>
      </c>
      <c r="AJ107">
        <v>86427</v>
      </c>
      <c r="AK107">
        <v>36262</v>
      </c>
      <c r="AL107">
        <v>26298</v>
      </c>
      <c r="AM107">
        <v>6444</v>
      </c>
      <c r="AN107">
        <v>4194</v>
      </c>
      <c r="AO107">
        <v>218</v>
      </c>
      <c r="AP107">
        <v>21041</v>
      </c>
      <c r="AQ107">
        <v>17670</v>
      </c>
      <c r="AR107" t="s">
        <v>58</v>
      </c>
      <c r="AS107">
        <v>47.14</v>
      </c>
      <c r="AT107" t="s">
        <v>58</v>
      </c>
      <c r="AU107">
        <v>2.58</v>
      </c>
      <c r="AV107" t="s">
        <v>58</v>
      </c>
      <c r="AW107" t="s">
        <v>58</v>
      </c>
      <c r="AX107" t="s">
        <v>58</v>
      </c>
      <c r="AY107">
        <v>575.76</v>
      </c>
      <c r="AZ107">
        <v>389.02</v>
      </c>
      <c r="BA107">
        <v>75.28</v>
      </c>
      <c r="BB107">
        <v>41.97</v>
      </c>
      <c r="BC107">
        <v>5.88</v>
      </c>
      <c r="BD107">
        <v>30.7</v>
      </c>
    </row>
    <row r="108" spans="1:56" x14ac:dyDescent="0.25">
      <c r="A108" t="s">
        <v>55</v>
      </c>
      <c r="B108" t="s">
        <v>56</v>
      </c>
      <c r="C108" t="s">
        <v>175</v>
      </c>
      <c r="D108" t="s">
        <v>176</v>
      </c>
      <c r="E108" t="s">
        <v>177</v>
      </c>
      <c r="G108" t="s">
        <v>57</v>
      </c>
      <c r="H108" t="s">
        <v>58</v>
      </c>
      <c r="I108" t="s">
        <v>58</v>
      </c>
      <c r="J108" t="s">
        <v>58</v>
      </c>
      <c r="K108" t="s">
        <v>58</v>
      </c>
      <c r="L108">
        <v>168</v>
      </c>
      <c r="M108" t="s">
        <v>58</v>
      </c>
      <c r="N108" t="s">
        <v>58</v>
      </c>
      <c r="O108">
        <v>48</v>
      </c>
      <c r="P108" t="s">
        <v>58</v>
      </c>
      <c r="Q108" t="s">
        <v>58</v>
      </c>
      <c r="R108">
        <v>61320</v>
      </c>
      <c r="S108">
        <v>14</v>
      </c>
      <c r="T108" t="s">
        <v>58</v>
      </c>
      <c r="U108" t="s">
        <v>58</v>
      </c>
      <c r="V108">
        <v>1242</v>
      </c>
      <c r="W108">
        <v>52452</v>
      </c>
      <c r="X108" t="s">
        <v>58</v>
      </c>
      <c r="Y108" t="s">
        <v>58</v>
      </c>
      <c r="Z108">
        <v>14744</v>
      </c>
      <c r="AA108" t="s">
        <v>58</v>
      </c>
      <c r="AB108" t="s">
        <v>58</v>
      </c>
      <c r="AC108">
        <v>5071</v>
      </c>
      <c r="AD108" t="s">
        <v>58</v>
      </c>
      <c r="AE108" t="s">
        <v>58</v>
      </c>
      <c r="AF108" t="s">
        <v>58</v>
      </c>
      <c r="AG108" t="s">
        <v>58</v>
      </c>
      <c r="AH108" t="s">
        <v>58</v>
      </c>
      <c r="AI108" t="s">
        <v>58</v>
      </c>
      <c r="AJ108" t="s">
        <v>58</v>
      </c>
      <c r="AK108" t="s">
        <v>58</v>
      </c>
      <c r="AL108" t="s">
        <v>58</v>
      </c>
      <c r="AM108" t="s">
        <v>58</v>
      </c>
      <c r="AN108" t="s">
        <v>58</v>
      </c>
      <c r="AO108" t="s">
        <v>58</v>
      </c>
      <c r="AP108">
        <v>840</v>
      </c>
      <c r="AQ108" t="s">
        <v>58</v>
      </c>
      <c r="AR108">
        <v>8</v>
      </c>
      <c r="AS108">
        <v>0.9</v>
      </c>
      <c r="AT108" t="s">
        <v>58</v>
      </c>
      <c r="AU108">
        <v>3.17</v>
      </c>
      <c r="AV108">
        <v>0</v>
      </c>
      <c r="AW108">
        <v>1</v>
      </c>
      <c r="AX108" t="s">
        <v>58</v>
      </c>
      <c r="AY108">
        <v>122.45</v>
      </c>
      <c r="AZ108">
        <v>47.98</v>
      </c>
      <c r="BA108">
        <v>33.049999999999997</v>
      </c>
      <c r="BB108">
        <v>3.13</v>
      </c>
      <c r="BC108">
        <v>2.87</v>
      </c>
      <c r="BD108">
        <v>9.83</v>
      </c>
    </row>
    <row r="109" spans="1:56" hidden="1" x14ac:dyDescent="0.25">
      <c r="A109" t="s">
        <v>55</v>
      </c>
      <c r="B109" t="s">
        <v>56</v>
      </c>
      <c r="C109" t="s">
        <v>175</v>
      </c>
      <c r="D109" t="s">
        <v>176</v>
      </c>
      <c r="E109" t="s">
        <v>177</v>
      </c>
      <c r="G109" t="s">
        <v>61</v>
      </c>
      <c r="H109">
        <v>0</v>
      </c>
      <c r="I109" t="s">
        <v>58</v>
      </c>
      <c r="J109" t="s">
        <v>58</v>
      </c>
      <c r="K109">
        <v>0</v>
      </c>
      <c r="L109">
        <v>168</v>
      </c>
      <c r="M109" t="s">
        <v>58</v>
      </c>
      <c r="N109" t="s">
        <v>58</v>
      </c>
      <c r="O109">
        <v>48</v>
      </c>
      <c r="P109" t="s">
        <v>58</v>
      </c>
      <c r="Q109" t="s">
        <v>58</v>
      </c>
      <c r="R109">
        <v>61320</v>
      </c>
      <c r="S109">
        <v>14</v>
      </c>
      <c r="T109" t="s">
        <v>58</v>
      </c>
      <c r="U109" t="s">
        <v>58</v>
      </c>
      <c r="V109">
        <v>1242</v>
      </c>
      <c r="W109">
        <v>52452</v>
      </c>
      <c r="X109" t="s">
        <v>58</v>
      </c>
      <c r="Y109" t="s">
        <v>58</v>
      </c>
      <c r="Z109">
        <v>14744</v>
      </c>
      <c r="AA109" t="s">
        <v>58</v>
      </c>
      <c r="AB109" t="s">
        <v>58</v>
      </c>
      <c r="AC109">
        <v>5071</v>
      </c>
      <c r="AD109" t="s">
        <v>58</v>
      </c>
      <c r="AE109" t="s">
        <v>58</v>
      </c>
      <c r="AF109" t="s">
        <v>58</v>
      </c>
      <c r="AG109" t="s">
        <v>58</v>
      </c>
      <c r="AH109" t="s">
        <v>58</v>
      </c>
      <c r="AI109" t="s">
        <v>58</v>
      </c>
      <c r="AJ109" t="s">
        <v>58</v>
      </c>
      <c r="AK109" t="s">
        <v>58</v>
      </c>
      <c r="AL109" t="s">
        <v>58</v>
      </c>
      <c r="AM109" t="s">
        <v>58</v>
      </c>
      <c r="AN109" t="s">
        <v>58</v>
      </c>
      <c r="AO109" t="s">
        <v>58</v>
      </c>
      <c r="AP109">
        <v>840</v>
      </c>
      <c r="AQ109" t="s">
        <v>58</v>
      </c>
      <c r="AR109">
        <v>8</v>
      </c>
      <c r="AS109">
        <v>0.9</v>
      </c>
      <c r="AT109" t="s">
        <v>58</v>
      </c>
      <c r="AU109">
        <v>3.17</v>
      </c>
      <c r="AV109" t="s">
        <v>58</v>
      </c>
      <c r="AW109" t="s">
        <v>58</v>
      </c>
      <c r="AX109" t="s">
        <v>58</v>
      </c>
      <c r="AY109">
        <v>122.45</v>
      </c>
      <c r="AZ109">
        <v>47.98</v>
      </c>
      <c r="BA109">
        <v>33.049999999999997</v>
      </c>
      <c r="BB109">
        <v>3.13</v>
      </c>
      <c r="BC109">
        <v>2.87</v>
      </c>
      <c r="BD109">
        <v>9.83</v>
      </c>
    </row>
    <row r="110" spans="1:56" x14ac:dyDescent="0.25">
      <c r="A110" t="s">
        <v>55</v>
      </c>
      <c r="B110" t="s">
        <v>56</v>
      </c>
      <c r="C110" t="s">
        <v>178</v>
      </c>
      <c r="D110" t="s">
        <v>179</v>
      </c>
      <c r="E110" t="s">
        <v>83</v>
      </c>
      <c r="G110" t="s">
        <v>57</v>
      </c>
      <c r="H110" t="s">
        <v>58</v>
      </c>
      <c r="I110" t="s">
        <v>58</v>
      </c>
      <c r="J110" t="s">
        <v>58</v>
      </c>
      <c r="K110" t="s">
        <v>58</v>
      </c>
      <c r="L110">
        <v>107</v>
      </c>
      <c r="M110" t="s">
        <v>58</v>
      </c>
      <c r="N110" t="s">
        <v>58</v>
      </c>
      <c r="O110" t="s">
        <v>58</v>
      </c>
      <c r="P110" t="s">
        <v>58</v>
      </c>
      <c r="Q110" t="s">
        <v>58</v>
      </c>
      <c r="R110">
        <v>39055</v>
      </c>
      <c r="S110" t="s">
        <v>58</v>
      </c>
      <c r="T110" t="s">
        <v>58</v>
      </c>
      <c r="U110" t="s">
        <v>58</v>
      </c>
      <c r="V110">
        <v>940</v>
      </c>
      <c r="W110">
        <v>37515</v>
      </c>
      <c r="X110" t="s">
        <v>58</v>
      </c>
      <c r="Y110" t="s">
        <v>58</v>
      </c>
      <c r="Z110" t="s">
        <v>58</v>
      </c>
      <c r="AA110" t="s">
        <v>58</v>
      </c>
      <c r="AB110" t="s">
        <v>58</v>
      </c>
      <c r="AC110" t="s">
        <v>58</v>
      </c>
      <c r="AD110" t="s">
        <v>58</v>
      </c>
      <c r="AE110" t="s">
        <v>58</v>
      </c>
      <c r="AF110" t="s">
        <v>58</v>
      </c>
      <c r="AG110" t="s">
        <v>58</v>
      </c>
      <c r="AH110" t="s">
        <v>58</v>
      </c>
      <c r="AI110" t="s">
        <v>58</v>
      </c>
      <c r="AJ110" t="s">
        <v>58</v>
      </c>
      <c r="AK110" t="s">
        <v>58</v>
      </c>
      <c r="AL110" t="s">
        <v>58</v>
      </c>
      <c r="AM110" t="s">
        <v>58</v>
      </c>
      <c r="AN110" t="s">
        <v>58</v>
      </c>
      <c r="AO110" t="s">
        <v>58</v>
      </c>
      <c r="AP110">
        <v>690</v>
      </c>
      <c r="AQ110" t="s">
        <v>58</v>
      </c>
      <c r="AR110">
        <v>7</v>
      </c>
      <c r="AS110">
        <v>0.9</v>
      </c>
      <c r="AT110">
        <v>1</v>
      </c>
      <c r="AU110">
        <v>1.22</v>
      </c>
      <c r="AV110">
        <v>0</v>
      </c>
      <c r="AW110">
        <v>0</v>
      </c>
      <c r="AX110">
        <v>1</v>
      </c>
      <c r="AY110">
        <v>63.55</v>
      </c>
      <c r="AZ110">
        <v>30.62</v>
      </c>
      <c r="BA110">
        <v>10.64</v>
      </c>
      <c r="BB110">
        <v>2.54</v>
      </c>
      <c r="BC110">
        <v>3.68</v>
      </c>
      <c r="BD110">
        <v>2.5499999999999998</v>
      </c>
    </row>
    <row r="111" spans="1:56" x14ac:dyDescent="0.25">
      <c r="A111" t="s">
        <v>55</v>
      </c>
      <c r="B111" t="s">
        <v>56</v>
      </c>
      <c r="C111" t="s">
        <v>178</v>
      </c>
      <c r="D111" t="s">
        <v>179</v>
      </c>
      <c r="E111" t="s">
        <v>83</v>
      </c>
      <c r="F111" s="274" t="s">
        <v>178</v>
      </c>
      <c r="G111" t="s">
        <v>59</v>
      </c>
      <c r="H111" t="s">
        <v>58</v>
      </c>
      <c r="I111" t="s">
        <v>58</v>
      </c>
      <c r="J111" t="s">
        <v>58</v>
      </c>
      <c r="K111" t="s">
        <v>58</v>
      </c>
      <c r="L111">
        <v>14</v>
      </c>
      <c r="M111" t="s">
        <v>58</v>
      </c>
      <c r="N111" t="s">
        <v>58</v>
      </c>
      <c r="O111" t="s">
        <v>58</v>
      </c>
      <c r="P111" t="s">
        <v>58</v>
      </c>
      <c r="Q111" t="s">
        <v>58</v>
      </c>
      <c r="R111">
        <v>5110</v>
      </c>
      <c r="S111" t="s">
        <v>58</v>
      </c>
      <c r="T111" t="s">
        <v>58</v>
      </c>
      <c r="U111" t="s">
        <v>58</v>
      </c>
      <c r="V111">
        <v>152</v>
      </c>
      <c r="W111">
        <v>3751</v>
      </c>
      <c r="X111" t="s">
        <v>58</v>
      </c>
      <c r="Y111" t="s">
        <v>58</v>
      </c>
      <c r="Z111" t="s">
        <v>58</v>
      </c>
      <c r="AA111" t="s">
        <v>58</v>
      </c>
      <c r="AB111" t="s">
        <v>58</v>
      </c>
      <c r="AC111" t="s">
        <v>58</v>
      </c>
      <c r="AD111" t="s">
        <v>58</v>
      </c>
      <c r="AE111" t="s">
        <v>58</v>
      </c>
      <c r="AF111" t="s">
        <v>58</v>
      </c>
      <c r="AG111" t="s">
        <v>58</v>
      </c>
      <c r="AH111" t="s">
        <v>58</v>
      </c>
      <c r="AI111" t="s">
        <v>58</v>
      </c>
      <c r="AJ111" t="s">
        <v>58</v>
      </c>
      <c r="AK111" t="s">
        <v>58</v>
      </c>
      <c r="AL111" t="s">
        <v>58</v>
      </c>
      <c r="AM111" t="s">
        <v>58</v>
      </c>
      <c r="AN111" t="s">
        <v>58</v>
      </c>
      <c r="AO111" t="s">
        <v>58</v>
      </c>
      <c r="AP111">
        <v>66</v>
      </c>
      <c r="AQ111" t="s">
        <v>58</v>
      </c>
      <c r="AR111">
        <v>0</v>
      </c>
      <c r="AS111">
        <v>1.27</v>
      </c>
      <c r="AT111">
        <v>0</v>
      </c>
      <c r="AU111">
        <v>0.16</v>
      </c>
      <c r="AV111">
        <v>0</v>
      </c>
      <c r="AW111">
        <v>0</v>
      </c>
      <c r="AX111">
        <v>1</v>
      </c>
      <c r="AY111">
        <v>12.35</v>
      </c>
      <c r="AZ111">
        <v>5.33</v>
      </c>
      <c r="BA111">
        <v>2.25</v>
      </c>
      <c r="BB111">
        <v>0.5</v>
      </c>
      <c r="BC111">
        <v>1.19</v>
      </c>
      <c r="BD111">
        <v>3.08</v>
      </c>
    </row>
    <row r="112" spans="1:56" hidden="1" x14ac:dyDescent="0.25">
      <c r="A112" t="s">
        <v>55</v>
      </c>
      <c r="B112" t="s">
        <v>56</v>
      </c>
      <c r="C112" t="s">
        <v>178</v>
      </c>
      <c r="D112" t="s">
        <v>179</v>
      </c>
      <c r="E112" t="s">
        <v>83</v>
      </c>
      <c r="G112" t="s">
        <v>61</v>
      </c>
      <c r="H112">
        <v>0</v>
      </c>
      <c r="I112" t="s">
        <v>58</v>
      </c>
      <c r="J112" t="s">
        <v>58</v>
      </c>
      <c r="K112">
        <v>0</v>
      </c>
      <c r="L112">
        <v>121</v>
      </c>
      <c r="M112" t="s">
        <v>58</v>
      </c>
      <c r="N112" t="s">
        <v>58</v>
      </c>
      <c r="O112" t="s">
        <v>58</v>
      </c>
      <c r="P112" t="s">
        <v>58</v>
      </c>
      <c r="Q112" t="s">
        <v>58</v>
      </c>
      <c r="R112">
        <v>44165</v>
      </c>
      <c r="S112" t="s">
        <v>58</v>
      </c>
      <c r="T112" t="s">
        <v>58</v>
      </c>
      <c r="U112" t="s">
        <v>58</v>
      </c>
      <c r="V112">
        <v>1092</v>
      </c>
      <c r="W112">
        <v>41266</v>
      </c>
      <c r="X112" t="s">
        <v>58</v>
      </c>
      <c r="Y112" t="s">
        <v>58</v>
      </c>
      <c r="Z112" t="s">
        <v>58</v>
      </c>
      <c r="AA112" t="s">
        <v>58</v>
      </c>
      <c r="AB112" t="s">
        <v>58</v>
      </c>
      <c r="AC112" t="s">
        <v>58</v>
      </c>
      <c r="AD112" t="s">
        <v>58</v>
      </c>
      <c r="AE112" t="s">
        <v>58</v>
      </c>
      <c r="AF112" t="s">
        <v>58</v>
      </c>
      <c r="AG112" t="s">
        <v>58</v>
      </c>
      <c r="AH112" t="s">
        <v>58</v>
      </c>
      <c r="AI112" t="s">
        <v>58</v>
      </c>
      <c r="AJ112" t="s">
        <v>58</v>
      </c>
      <c r="AK112" t="s">
        <v>58</v>
      </c>
      <c r="AL112" t="s">
        <v>58</v>
      </c>
      <c r="AM112" t="s">
        <v>58</v>
      </c>
      <c r="AN112" t="s">
        <v>58</v>
      </c>
      <c r="AO112" t="s">
        <v>58</v>
      </c>
      <c r="AP112">
        <v>755</v>
      </c>
      <c r="AQ112" t="s">
        <v>58</v>
      </c>
      <c r="AR112">
        <v>7</v>
      </c>
      <c r="AS112">
        <v>2.17</v>
      </c>
      <c r="AT112">
        <v>1</v>
      </c>
      <c r="AU112">
        <v>1.38</v>
      </c>
      <c r="AV112" t="s">
        <v>58</v>
      </c>
      <c r="AW112" t="s">
        <v>58</v>
      </c>
      <c r="AX112">
        <v>2</v>
      </c>
      <c r="AY112">
        <v>75.900000000000006</v>
      </c>
      <c r="AZ112">
        <v>35.950000000000003</v>
      </c>
      <c r="BA112">
        <v>12.89</v>
      </c>
      <c r="BB112">
        <v>3.04</v>
      </c>
      <c r="BC112">
        <v>4.87</v>
      </c>
      <c r="BD112">
        <v>5.63</v>
      </c>
    </row>
    <row r="113" spans="1:56" x14ac:dyDescent="0.25">
      <c r="A113" t="s">
        <v>55</v>
      </c>
      <c r="B113" t="s">
        <v>56</v>
      </c>
      <c r="C113" t="s">
        <v>180</v>
      </c>
      <c r="D113" t="s">
        <v>181</v>
      </c>
      <c r="E113" t="s">
        <v>182</v>
      </c>
      <c r="G113" t="s">
        <v>57</v>
      </c>
      <c r="H113" t="s">
        <v>58</v>
      </c>
      <c r="I113" t="s">
        <v>58</v>
      </c>
      <c r="J113" t="s">
        <v>58</v>
      </c>
      <c r="K113" t="s">
        <v>58</v>
      </c>
      <c r="L113">
        <v>164</v>
      </c>
      <c r="M113" t="s">
        <v>58</v>
      </c>
      <c r="N113" t="s">
        <v>58</v>
      </c>
      <c r="O113" t="s">
        <v>58</v>
      </c>
      <c r="P113" t="s">
        <v>58</v>
      </c>
      <c r="Q113" t="s">
        <v>58</v>
      </c>
      <c r="R113">
        <v>59860</v>
      </c>
      <c r="S113" t="s">
        <v>58</v>
      </c>
      <c r="T113" t="s">
        <v>58</v>
      </c>
      <c r="U113" t="s">
        <v>58</v>
      </c>
      <c r="V113">
        <v>1107</v>
      </c>
      <c r="W113">
        <v>55205</v>
      </c>
      <c r="X113" t="s">
        <v>58</v>
      </c>
      <c r="Y113" t="s">
        <v>58</v>
      </c>
      <c r="Z113" t="s">
        <v>58</v>
      </c>
      <c r="AA113" t="s">
        <v>58</v>
      </c>
      <c r="AB113" t="s">
        <v>58</v>
      </c>
      <c r="AC113" t="s">
        <v>58</v>
      </c>
      <c r="AD113" t="s">
        <v>58</v>
      </c>
      <c r="AE113" t="s">
        <v>58</v>
      </c>
      <c r="AF113" t="s">
        <v>58</v>
      </c>
      <c r="AG113" t="s">
        <v>58</v>
      </c>
      <c r="AH113" t="s">
        <v>58</v>
      </c>
      <c r="AI113" t="s">
        <v>58</v>
      </c>
      <c r="AJ113" t="s">
        <v>58</v>
      </c>
      <c r="AK113" t="s">
        <v>58</v>
      </c>
      <c r="AL113" t="s">
        <v>58</v>
      </c>
      <c r="AM113" t="s">
        <v>58</v>
      </c>
      <c r="AN113" t="s">
        <v>58</v>
      </c>
      <c r="AO113" t="s">
        <v>58</v>
      </c>
      <c r="AP113">
        <v>743</v>
      </c>
      <c r="AQ113" t="s">
        <v>58</v>
      </c>
      <c r="AR113">
        <v>7</v>
      </c>
      <c r="AS113" t="s">
        <v>58</v>
      </c>
      <c r="AT113">
        <v>2</v>
      </c>
      <c r="AU113">
        <v>1</v>
      </c>
      <c r="AV113">
        <v>0</v>
      </c>
      <c r="AW113">
        <v>1</v>
      </c>
      <c r="AX113" t="s">
        <v>58</v>
      </c>
      <c r="AY113">
        <v>77.569999999999993</v>
      </c>
      <c r="AZ113">
        <v>53.3</v>
      </c>
      <c r="BA113">
        <v>20</v>
      </c>
      <c r="BB113">
        <v>2.5</v>
      </c>
      <c r="BC113">
        <v>1</v>
      </c>
      <c r="BD113">
        <v>1.77</v>
      </c>
    </row>
    <row r="114" spans="1:56" x14ac:dyDescent="0.25">
      <c r="A114" t="s">
        <v>55</v>
      </c>
      <c r="B114" t="s">
        <v>56</v>
      </c>
      <c r="C114" t="s">
        <v>180</v>
      </c>
      <c r="D114" t="s">
        <v>181</v>
      </c>
      <c r="E114" t="s">
        <v>182</v>
      </c>
      <c r="F114" s="273">
        <v>340780782</v>
      </c>
      <c r="G114" t="s">
        <v>59</v>
      </c>
      <c r="H114" t="s">
        <v>58</v>
      </c>
      <c r="I114" t="s">
        <v>58</v>
      </c>
      <c r="J114" t="s">
        <v>58</v>
      </c>
      <c r="K114" t="s">
        <v>58</v>
      </c>
      <c r="L114">
        <v>4</v>
      </c>
      <c r="M114" t="s">
        <v>58</v>
      </c>
      <c r="N114" t="s">
        <v>58</v>
      </c>
      <c r="O114" t="s">
        <v>58</v>
      </c>
      <c r="P114" t="s">
        <v>58</v>
      </c>
      <c r="Q114" t="s">
        <v>58</v>
      </c>
      <c r="R114">
        <v>1612</v>
      </c>
      <c r="S114" t="s">
        <v>58</v>
      </c>
      <c r="T114" t="s">
        <v>58</v>
      </c>
      <c r="U114" t="s">
        <v>58</v>
      </c>
      <c r="V114">
        <v>29</v>
      </c>
      <c r="W114">
        <v>1612</v>
      </c>
      <c r="X114" t="s">
        <v>58</v>
      </c>
      <c r="Y114" t="s">
        <v>58</v>
      </c>
      <c r="Z114" t="s">
        <v>58</v>
      </c>
      <c r="AA114" t="s">
        <v>58</v>
      </c>
      <c r="AB114" t="s">
        <v>58</v>
      </c>
      <c r="AC114" t="s">
        <v>58</v>
      </c>
      <c r="AD114" t="s">
        <v>58</v>
      </c>
      <c r="AE114" t="s">
        <v>58</v>
      </c>
      <c r="AF114" t="s">
        <v>58</v>
      </c>
      <c r="AG114" t="s">
        <v>58</v>
      </c>
      <c r="AH114" t="s">
        <v>58</v>
      </c>
      <c r="AI114" t="s">
        <v>58</v>
      </c>
      <c r="AJ114" t="s">
        <v>58</v>
      </c>
      <c r="AK114" t="s">
        <v>58</v>
      </c>
      <c r="AL114" t="s">
        <v>58</v>
      </c>
      <c r="AM114" t="s">
        <v>58</v>
      </c>
      <c r="AN114" t="s">
        <v>58</v>
      </c>
      <c r="AO114" t="s">
        <v>58</v>
      </c>
      <c r="AP114">
        <v>28</v>
      </c>
      <c r="AQ114" t="s">
        <v>58</v>
      </c>
      <c r="AR114" t="s">
        <v>58</v>
      </c>
      <c r="AS114" t="s">
        <v>58</v>
      </c>
      <c r="AT114" t="s">
        <v>58</v>
      </c>
      <c r="AU114" t="s">
        <v>58</v>
      </c>
      <c r="AV114">
        <v>0</v>
      </c>
      <c r="AW114">
        <v>0</v>
      </c>
      <c r="AX114" t="s">
        <v>58</v>
      </c>
      <c r="AY114" t="s">
        <v>58</v>
      </c>
      <c r="AZ114" t="s">
        <v>58</v>
      </c>
      <c r="BA114" t="s">
        <v>58</v>
      </c>
      <c r="BB114" t="s">
        <v>58</v>
      </c>
      <c r="BC114" t="s">
        <v>58</v>
      </c>
      <c r="BD114" t="s">
        <v>58</v>
      </c>
    </row>
    <row r="115" spans="1:56" hidden="1" x14ac:dyDescent="0.25">
      <c r="A115" t="s">
        <v>55</v>
      </c>
      <c r="B115" t="s">
        <v>56</v>
      </c>
      <c r="C115" t="s">
        <v>180</v>
      </c>
      <c r="D115" t="s">
        <v>181</v>
      </c>
      <c r="E115" t="s">
        <v>182</v>
      </c>
      <c r="G115" t="s">
        <v>61</v>
      </c>
      <c r="H115">
        <v>0</v>
      </c>
      <c r="I115" t="s">
        <v>58</v>
      </c>
      <c r="J115" t="s">
        <v>58</v>
      </c>
      <c r="K115">
        <v>0</v>
      </c>
      <c r="L115">
        <v>168</v>
      </c>
      <c r="M115" t="s">
        <v>58</v>
      </c>
      <c r="N115" t="s">
        <v>58</v>
      </c>
      <c r="O115" t="s">
        <v>58</v>
      </c>
      <c r="P115" t="s">
        <v>58</v>
      </c>
      <c r="Q115" t="s">
        <v>58</v>
      </c>
      <c r="R115">
        <v>61472</v>
      </c>
      <c r="S115" t="s">
        <v>58</v>
      </c>
      <c r="T115" t="s">
        <v>58</v>
      </c>
      <c r="U115" t="s">
        <v>58</v>
      </c>
      <c r="V115">
        <v>1136</v>
      </c>
      <c r="W115">
        <v>56817</v>
      </c>
      <c r="X115" t="s">
        <v>58</v>
      </c>
      <c r="Y115" t="s">
        <v>58</v>
      </c>
      <c r="Z115" t="s">
        <v>58</v>
      </c>
      <c r="AA115" t="s">
        <v>58</v>
      </c>
      <c r="AB115" t="s">
        <v>58</v>
      </c>
      <c r="AC115" t="s">
        <v>58</v>
      </c>
      <c r="AD115" t="s">
        <v>58</v>
      </c>
      <c r="AE115" t="s">
        <v>58</v>
      </c>
      <c r="AF115" t="s">
        <v>58</v>
      </c>
      <c r="AG115" t="s">
        <v>58</v>
      </c>
      <c r="AH115" t="s">
        <v>58</v>
      </c>
      <c r="AI115" t="s">
        <v>58</v>
      </c>
      <c r="AJ115" t="s">
        <v>58</v>
      </c>
      <c r="AK115" t="s">
        <v>58</v>
      </c>
      <c r="AL115" t="s">
        <v>58</v>
      </c>
      <c r="AM115" t="s">
        <v>58</v>
      </c>
      <c r="AN115" t="s">
        <v>58</v>
      </c>
      <c r="AO115" t="s">
        <v>58</v>
      </c>
      <c r="AP115">
        <v>743</v>
      </c>
      <c r="AQ115" t="s">
        <v>58</v>
      </c>
      <c r="AR115">
        <v>7</v>
      </c>
      <c r="AS115" t="s">
        <v>58</v>
      </c>
      <c r="AT115">
        <v>2</v>
      </c>
      <c r="AU115">
        <v>1</v>
      </c>
      <c r="AV115" t="s">
        <v>58</v>
      </c>
      <c r="AW115" t="s">
        <v>58</v>
      </c>
      <c r="AX115" t="s">
        <v>58</v>
      </c>
      <c r="AY115">
        <v>77.569999999999993</v>
      </c>
      <c r="AZ115">
        <v>53.3</v>
      </c>
      <c r="BA115">
        <v>20</v>
      </c>
      <c r="BB115">
        <v>2.5</v>
      </c>
      <c r="BC115">
        <v>1</v>
      </c>
      <c r="BD115">
        <v>1.77</v>
      </c>
    </row>
    <row r="116" spans="1:56" x14ac:dyDescent="0.25">
      <c r="A116" t="s">
        <v>55</v>
      </c>
      <c r="B116" t="s">
        <v>56</v>
      </c>
      <c r="C116" t="s">
        <v>183</v>
      </c>
      <c r="D116" t="s">
        <v>184</v>
      </c>
      <c r="E116" t="s">
        <v>185</v>
      </c>
      <c r="G116" t="s">
        <v>57</v>
      </c>
      <c r="H116" t="s">
        <v>58</v>
      </c>
      <c r="I116">
        <v>1</v>
      </c>
      <c r="J116" t="s">
        <v>58</v>
      </c>
      <c r="K116" t="s">
        <v>58</v>
      </c>
      <c r="L116">
        <v>75</v>
      </c>
      <c r="M116">
        <v>0</v>
      </c>
      <c r="N116">
        <v>0</v>
      </c>
      <c r="O116">
        <v>0</v>
      </c>
      <c r="P116">
        <v>8</v>
      </c>
      <c r="Q116">
        <v>0</v>
      </c>
      <c r="R116">
        <v>27375</v>
      </c>
      <c r="S116">
        <v>0</v>
      </c>
      <c r="T116">
        <v>0</v>
      </c>
      <c r="U116">
        <v>0</v>
      </c>
      <c r="V116">
        <v>484</v>
      </c>
      <c r="W116">
        <v>26546</v>
      </c>
      <c r="X116">
        <v>0</v>
      </c>
      <c r="Y116">
        <v>0</v>
      </c>
      <c r="Z116">
        <v>0</v>
      </c>
      <c r="AA116">
        <v>6310</v>
      </c>
      <c r="AB116">
        <v>0</v>
      </c>
      <c r="AC116">
        <v>0</v>
      </c>
      <c r="AD116">
        <v>0</v>
      </c>
      <c r="AE116">
        <v>0</v>
      </c>
      <c r="AF116">
        <v>0</v>
      </c>
      <c r="AG116" t="s">
        <v>58</v>
      </c>
      <c r="AH116" t="s">
        <v>58</v>
      </c>
      <c r="AI116" t="s">
        <v>58</v>
      </c>
      <c r="AJ116" t="s">
        <v>58</v>
      </c>
      <c r="AK116" t="s">
        <v>58</v>
      </c>
      <c r="AL116" t="s">
        <v>58</v>
      </c>
      <c r="AM116" t="s">
        <v>58</v>
      </c>
      <c r="AN116" t="s">
        <v>58</v>
      </c>
      <c r="AO116" t="s">
        <v>58</v>
      </c>
      <c r="AP116">
        <v>451</v>
      </c>
      <c r="AQ116">
        <v>0</v>
      </c>
      <c r="AR116">
        <v>4</v>
      </c>
      <c r="AS116" t="s">
        <v>58</v>
      </c>
      <c r="AT116" t="s">
        <v>58</v>
      </c>
      <c r="AU116">
        <v>3</v>
      </c>
      <c r="AV116" t="s">
        <v>58</v>
      </c>
      <c r="AW116" t="s">
        <v>58</v>
      </c>
      <c r="AX116">
        <v>6</v>
      </c>
      <c r="AY116">
        <v>36.96</v>
      </c>
      <c r="AZ116">
        <v>14.71</v>
      </c>
      <c r="BA116">
        <v>19.559999999999999</v>
      </c>
      <c r="BB116">
        <v>1.69</v>
      </c>
      <c r="BC116">
        <v>0</v>
      </c>
      <c r="BD116">
        <v>0</v>
      </c>
    </row>
    <row r="117" spans="1:56" hidden="1" x14ac:dyDescent="0.25">
      <c r="A117" t="s">
        <v>55</v>
      </c>
      <c r="B117" t="s">
        <v>56</v>
      </c>
      <c r="C117" t="s">
        <v>183</v>
      </c>
      <c r="D117" t="s">
        <v>184</v>
      </c>
      <c r="E117" t="s">
        <v>185</v>
      </c>
      <c r="G117" t="s">
        <v>61</v>
      </c>
      <c r="H117">
        <v>1</v>
      </c>
      <c r="I117" t="s">
        <v>58</v>
      </c>
      <c r="J117">
        <v>0</v>
      </c>
      <c r="K117">
        <v>0</v>
      </c>
      <c r="L117">
        <v>75</v>
      </c>
      <c r="M117">
        <v>0</v>
      </c>
      <c r="N117">
        <v>0</v>
      </c>
      <c r="O117">
        <v>0</v>
      </c>
      <c r="P117">
        <v>8</v>
      </c>
      <c r="Q117">
        <v>0</v>
      </c>
      <c r="R117">
        <v>27375</v>
      </c>
      <c r="S117">
        <v>0</v>
      </c>
      <c r="T117">
        <v>0</v>
      </c>
      <c r="U117">
        <v>0</v>
      </c>
      <c r="V117">
        <v>484</v>
      </c>
      <c r="W117">
        <v>26546</v>
      </c>
      <c r="X117">
        <v>0</v>
      </c>
      <c r="Y117">
        <v>0</v>
      </c>
      <c r="Z117">
        <v>0</v>
      </c>
      <c r="AA117">
        <v>6310</v>
      </c>
      <c r="AB117">
        <v>0</v>
      </c>
      <c r="AC117">
        <v>0</v>
      </c>
      <c r="AD117">
        <v>0</v>
      </c>
      <c r="AE117">
        <v>0</v>
      </c>
      <c r="AF117">
        <v>0</v>
      </c>
      <c r="AG117" t="s">
        <v>58</v>
      </c>
      <c r="AH117" t="s">
        <v>58</v>
      </c>
      <c r="AI117" t="s">
        <v>58</v>
      </c>
      <c r="AJ117" t="s">
        <v>58</v>
      </c>
      <c r="AK117" t="s">
        <v>58</v>
      </c>
      <c r="AL117" t="s">
        <v>58</v>
      </c>
      <c r="AM117" t="s">
        <v>58</v>
      </c>
      <c r="AN117" t="s">
        <v>58</v>
      </c>
      <c r="AO117" t="s">
        <v>58</v>
      </c>
      <c r="AP117">
        <v>451</v>
      </c>
      <c r="AQ117" t="s">
        <v>58</v>
      </c>
      <c r="AR117">
        <v>4</v>
      </c>
      <c r="AS117" t="s">
        <v>58</v>
      </c>
      <c r="AT117" t="s">
        <v>58</v>
      </c>
      <c r="AU117">
        <v>3</v>
      </c>
      <c r="AV117" t="s">
        <v>58</v>
      </c>
      <c r="AW117" t="s">
        <v>58</v>
      </c>
      <c r="AX117">
        <v>6</v>
      </c>
      <c r="AY117">
        <v>36.96</v>
      </c>
      <c r="AZ117">
        <v>14.71</v>
      </c>
      <c r="BA117">
        <v>19.559999999999999</v>
      </c>
      <c r="BB117">
        <v>1.69</v>
      </c>
      <c r="BC117">
        <v>0</v>
      </c>
      <c r="BD117">
        <v>0</v>
      </c>
    </row>
    <row r="118" spans="1:56" x14ac:dyDescent="0.25">
      <c r="A118" t="s">
        <v>55</v>
      </c>
      <c r="B118" t="s">
        <v>56</v>
      </c>
      <c r="C118" t="s">
        <v>186</v>
      </c>
      <c r="D118" t="s">
        <v>187</v>
      </c>
      <c r="E118" t="s">
        <v>188</v>
      </c>
      <c r="G118" t="s">
        <v>57</v>
      </c>
      <c r="H118" t="s">
        <v>58</v>
      </c>
      <c r="I118" t="s">
        <v>58</v>
      </c>
      <c r="J118" t="s">
        <v>58</v>
      </c>
      <c r="K118" t="s">
        <v>58</v>
      </c>
      <c r="L118">
        <v>90</v>
      </c>
      <c r="M118" t="s">
        <v>58</v>
      </c>
      <c r="N118" t="s">
        <v>58</v>
      </c>
      <c r="O118" t="s">
        <v>58</v>
      </c>
      <c r="P118" t="s">
        <v>58</v>
      </c>
      <c r="Q118" t="s">
        <v>58</v>
      </c>
      <c r="R118">
        <v>32850</v>
      </c>
      <c r="S118">
        <v>12</v>
      </c>
      <c r="T118" t="s">
        <v>58</v>
      </c>
      <c r="U118" t="s">
        <v>58</v>
      </c>
      <c r="V118">
        <v>319</v>
      </c>
      <c r="W118">
        <v>31255</v>
      </c>
      <c r="X118" t="s">
        <v>58</v>
      </c>
      <c r="Y118" t="s">
        <v>58</v>
      </c>
      <c r="Z118" t="s">
        <v>58</v>
      </c>
      <c r="AA118" t="s">
        <v>58</v>
      </c>
      <c r="AB118" t="s">
        <v>58</v>
      </c>
      <c r="AC118">
        <v>5830</v>
      </c>
      <c r="AD118" t="s">
        <v>58</v>
      </c>
      <c r="AE118" t="s">
        <v>58</v>
      </c>
      <c r="AF118" t="s">
        <v>58</v>
      </c>
      <c r="AG118" t="s">
        <v>58</v>
      </c>
      <c r="AH118" t="s">
        <v>58</v>
      </c>
      <c r="AI118" t="s">
        <v>58</v>
      </c>
      <c r="AJ118" t="s">
        <v>58</v>
      </c>
      <c r="AK118" t="s">
        <v>58</v>
      </c>
      <c r="AL118" t="s">
        <v>58</v>
      </c>
      <c r="AM118" t="s">
        <v>58</v>
      </c>
      <c r="AN118" t="s">
        <v>58</v>
      </c>
      <c r="AO118" t="s">
        <v>58</v>
      </c>
      <c r="AP118">
        <v>382</v>
      </c>
      <c r="AQ118" t="s">
        <v>58</v>
      </c>
      <c r="AR118">
        <v>5</v>
      </c>
      <c r="AS118" t="s">
        <v>58</v>
      </c>
      <c r="AT118">
        <v>5</v>
      </c>
      <c r="AU118">
        <v>4.09</v>
      </c>
      <c r="AV118">
        <v>0</v>
      </c>
      <c r="AW118">
        <v>1</v>
      </c>
      <c r="AX118" t="s">
        <v>58</v>
      </c>
      <c r="AY118">
        <v>55.06</v>
      </c>
      <c r="AZ118">
        <v>35.380000000000003</v>
      </c>
      <c r="BA118" t="s">
        <v>58</v>
      </c>
      <c r="BB118">
        <v>6.91</v>
      </c>
      <c r="BC118" t="s">
        <v>58</v>
      </c>
      <c r="BD118">
        <v>2.99</v>
      </c>
    </row>
    <row r="119" spans="1:56" hidden="1" x14ac:dyDescent="0.25">
      <c r="A119" t="s">
        <v>55</v>
      </c>
      <c r="B119" t="s">
        <v>56</v>
      </c>
      <c r="C119" t="s">
        <v>186</v>
      </c>
      <c r="D119" t="s">
        <v>187</v>
      </c>
      <c r="E119" t="s">
        <v>188</v>
      </c>
      <c r="G119" t="s">
        <v>61</v>
      </c>
      <c r="H119">
        <v>0</v>
      </c>
      <c r="I119" t="s">
        <v>58</v>
      </c>
      <c r="J119" t="s">
        <v>58</v>
      </c>
      <c r="K119">
        <v>0</v>
      </c>
      <c r="L119">
        <v>90</v>
      </c>
      <c r="M119" t="s">
        <v>58</v>
      </c>
      <c r="N119" t="s">
        <v>58</v>
      </c>
      <c r="O119" t="s">
        <v>58</v>
      </c>
      <c r="P119" t="s">
        <v>58</v>
      </c>
      <c r="Q119" t="s">
        <v>58</v>
      </c>
      <c r="R119">
        <v>32850</v>
      </c>
      <c r="S119">
        <v>12</v>
      </c>
      <c r="T119" t="s">
        <v>58</v>
      </c>
      <c r="U119" t="s">
        <v>58</v>
      </c>
      <c r="V119">
        <v>319</v>
      </c>
      <c r="W119">
        <v>31255</v>
      </c>
      <c r="X119" t="s">
        <v>58</v>
      </c>
      <c r="Y119" t="s">
        <v>58</v>
      </c>
      <c r="Z119" t="s">
        <v>58</v>
      </c>
      <c r="AA119" t="s">
        <v>58</v>
      </c>
      <c r="AB119" t="s">
        <v>58</v>
      </c>
      <c r="AC119">
        <v>5830</v>
      </c>
      <c r="AD119" t="s">
        <v>58</v>
      </c>
      <c r="AE119" t="s">
        <v>58</v>
      </c>
      <c r="AF119" t="s">
        <v>58</v>
      </c>
      <c r="AG119" t="s">
        <v>58</v>
      </c>
      <c r="AH119" t="s">
        <v>58</v>
      </c>
      <c r="AI119" t="s">
        <v>58</v>
      </c>
      <c r="AJ119" t="s">
        <v>58</v>
      </c>
      <c r="AK119" t="s">
        <v>58</v>
      </c>
      <c r="AL119" t="s">
        <v>58</v>
      </c>
      <c r="AM119" t="s">
        <v>58</v>
      </c>
      <c r="AN119" t="s">
        <v>58</v>
      </c>
      <c r="AO119" t="s">
        <v>58</v>
      </c>
      <c r="AP119">
        <v>382</v>
      </c>
      <c r="AQ119" t="s">
        <v>58</v>
      </c>
      <c r="AR119">
        <v>5</v>
      </c>
      <c r="AS119" t="s">
        <v>58</v>
      </c>
      <c r="AT119">
        <v>5</v>
      </c>
      <c r="AU119">
        <v>4.09</v>
      </c>
      <c r="AV119" t="s">
        <v>58</v>
      </c>
      <c r="AW119" t="s">
        <v>58</v>
      </c>
      <c r="AX119" t="s">
        <v>58</v>
      </c>
      <c r="AY119">
        <v>55.06</v>
      </c>
      <c r="AZ119">
        <v>35.380000000000003</v>
      </c>
      <c r="BA119" t="s">
        <v>58</v>
      </c>
      <c r="BB119">
        <v>6.91</v>
      </c>
      <c r="BC119" t="s">
        <v>58</v>
      </c>
      <c r="BD119">
        <v>2.99</v>
      </c>
    </row>
    <row r="120" spans="1:56" x14ac:dyDescent="0.25">
      <c r="A120" t="s">
        <v>55</v>
      </c>
      <c r="B120" t="s">
        <v>56</v>
      </c>
      <c r="C120" t="s">
        <v>189</v>
      </c>
      <c r="D120" t="s">
        <v>190</v>
      </c>
      <c r="E120" t="s">
        <v>174</v>
      </c>
      <c r="F120" s="273">
        <v>340780477</v>
      </c>
      <c r="G120" t="s">
        <v>59</v>
      </c>
      <c r="H120" t="s">
        <v>58</v>
      </c>
      <c r="I120">
        <v>1</v>
      </c>
      <c r="J120" t="s">
        <v>58</v>
      </c>
      <c r="K120" t="s">
        <v>58</v>
      </c>
      <c r="L120">
        <v>10</v>
      </c>
      <c r="M120">
        <v>1</v>
      </c>
      <c r="N120" t="s">
        <v>58</v>
      </c>
      <c r="O120" t="s">
        <v>58</v>
      </c>
      <c r="P120" t="s">
        <v>58</v>
      </c>
      <c r="Q120" t="s">
        <v>58</v>
      </c>
      <c r="R120">
        <v>3650</v>
      </c>
      <c r="S120">
        <v>43</v>
      </c>
      <c r="T120" t="s">
        <v>58</v>
      </c>
      <c r="U120" t="s">
        <v>58</v>
      </c>
      <c r="V120">
        <v>195</v>
      </c>
      <c r="W120">
        <v>2740</v>
      </c>
      <c r="X120">
        <v>58</v>
      </c>
      <c r="Y120" t="s">
        <v>58</v>
      </c>
      <c r="Z120" t="s">
        <v>58</v>
      </c>
      <c r="AA120" t="s">
        <v>58</v>
      </c>
      <c r="AB120" t="s">
        <v>58</v>
      </c>
      <c r="AC120">
        <v>6489</v>
      </c>
      <c r="AD120" t="s">
        <v>58</v>
      </c>
      <c r="AE120" t="s">
        <v>58</v>
      </c>
      <c r="AF120">
        <v>1</v>
      </c>
      <c r="AG120">
        <v>2</v>
      </c>
      <c r="AH120" t="s">
        <v>58</v>
      </c>
      <c r="AI120">
        <v>2332</v>
      </c>
      <c r="AJ120">
        <v>3051</v>
      </c>
      <c r="AK120" t="s">
        <v>58</v>
      </c>
      <c r="AL120">
        <v>162</v>
      </c>
      <c r="AM120">
        <v>10</v>
      </c>
      <c r="AN120">
        <v>324</v>
      </c>
      <c r="AO120">
        <v>23</v>
      </c>
      <c r="AP120">
        <v>1922</v>
      </c>
      <c r="AQ120">
        <v>947</v>
      </c>
      <c r="AR120" t="s">
        <v>58</v>
      </c>
      <c r="AS120">
        <v>7.8</v>
      </c>
      <c r="AT120" t="s">
        <v>58</v>
      </c>
      <c r="AU120">
        <v>1.4</v>
      </c>
      <c r="AV120">
        <v>0</v>
      </c>
      <c r="AW120">
        <v>1</v>
      </c>
      <c r="AX120" t="s">
        <v>58</v>
      </c>
      <c r="AY120">
        <v>70.180000000000007</v>
      </c>
      <c r="AZ120">
        <v>38.590000000000003</v>
      </c>
      <c r="BA120">
        <v>6.57</v>
      </c>
      <c r="BB120">
        <v>8.08</v>
      </c>
      <c r="BC120">
        <v>1.8</v>
      </c>
      <c r="BD120">
        <v>9.67</v>
      </c>
    </row>
    <row r="121" spans="1:56" s="106" customFormat="1" hidden="1" x14ac:dyDescent="0.25">
      <c r="A121" s="106" t="s">
        <v>55</v>
      </c>
      <c r="B121" s="106" t="s">
        <v>56</v>
      </c>
      <c r="C121" s="106" t="s">
        <v>189</v>
      </c>
      <c r="D121" s="106" t="s">
        <v>190</v>
      </c>
      <c r="E121" s="106" t="s">
        <v>174</v>
      </c>
      <c r="G121" s="106" t="s">
        <v>61</v>
      </c>
      <c r="H121" s="106">
        <v>1</v>
      </c>
      <c r="I121" s="106" t="s">
        <v>58</v>
      </c>
      <c r="J121" s="106" t="s">
        <v>58</v>
      </c>
      <c r="K121" s="106">
        <v>0</v>
      </c>
      <c r="L121" s="106">
        <v>10</v>
      </c>
      <c r="M121" s="106">
        <v>1</v>
      </c>
      <c r="N121" s="106" t="s">
        <v>58</v>
      </c>
      <c r="O121" s="106" t="s">
        <v>58</v>
      </c>
      <c r="P121" s="106" t="s">
        <v>58</v>
      </c>
      <c r="Q121" s="106" t="s">
        <v>58</v>
      </c>
      <c r="R121" s="106">
        <v>3650</v>
      </c>
      <c r="S121" s="106">
        <v>43</v>
      </c>
      <c r="T121" s="106" t="s">
        <v>58</v>
      </c>
      <c r="U121" s="106" t="s">
        <v>58</v>
      </c>
      <c r="V121" s="106">
        <v>195</v>
      </c>
      <c r="W121" s="106">
        <v>2740</v>
      </c>
      <c r="X121" s="106">
        <v>58</v>
      </c>
      <c r="Y121" s="106" t="s">
        <v>58</v>
      </c>
      <c r="Z121" s="106" t="s">
        <v>58</v>
      </c>
      <c r="AA121" s="106" t="s">
        <v>58</v>
      </c>
      <c r="AB121" s="106" t="s">
        <v>58</v>
      </c>
      <c r="AC121" s="106">
        <v>6489</v>
      </c>
      <c r="AD121" s="106" t="s">
        <v>58</v>
      </c>
      <c r="AE121" s="106" t="s">
        <v>58</v>
      </c>
      <c r="AF121" s="106">
        <v>1</v>
      </c>
      <c r="AG121" s="106">
        <v>2</v>
      </c>
      <c r="AH121" s="106" t="s">
        <v>58</v>
      </c>
      <c r="AI121" s="106">
        <v>2332</v>
      </c>
      <c r="AJ121" s="106">
        <v>3051</v>
      </c>
      <c r="AK121" s="106" t="s">
        <v>58</v>
      </c>
      <c r="AL121" s="106">
        <v>162</v>
      </c>
      <c r="AM121" s="106">
        <v>10</v>
      </c>
      <c r="AN121" s="106">
        <v>324</v>
      </c>
      <c r="AO121" s="106">
        <v>23</v>
      </c>
      <c r="AP121" s="106">
        <v>1922</v>
      </c>
      <c r="AQ121" s="106">
        <v>947</v>
      </c>
      <c r="AR121" s="106" t="s">
        <v>58</v>
      </c>
      <c r="AS121" s="106">
        <v>7.8</v>
      </c>
      <c r="AT121" s="106" t="s">
        <v>58</v>
      </c>
      <c r="AU121" s="106">
        <v>1.4</v>
      </c>
      <c r="AV121" s="106" t="s">
        <v>58</v>
      </c>
      <c r="AW121" s="106" t="s">
        <v>58</v>
      </c>
      <c r="AX121" s="106" t="s">
        <v>58</v>
      </c>
      <c r="AY121" s="106">
        <v>70.180000000000007</v>
      </c>
      <c r="AZ121" s="106">
        <v>38.590000000000003</v>
      </c>
      <c r="BA121" s="106">
        <v>6.57</v>
      </c>
      <c r="BB121" s="106">
        <v>8.08</v>
      </c>
      <c r="BC121" s="106">
        <v>1.8</v>
      </c>
      <c r="BD121" s="106">
        <v>9.67</v>
      </c>
    </row>
    <row r="122" spans="1:56" s="108" customFormat="1" x14ac:dyDescent="0.25">
      <c r="A122" s="108" t="s">
        <v>55</v>
      </c>
      <c r="B122" s="108" t="s">
        <v>56</v>
      </c>
      <c r="C122" s="108" t="s">
        <v>191</v>
      </c>
      <c r="D122" s="108" t="s">
        <v>192</v>
      </c>
      <c r="E122" s="108" t="s">
        <v>163</v>
      </c>
      <c r="F122" s="281">
        <v>340011295</v>
      </c>
      <c r="G122" s="108" t="s">
        <v>59</v>
      </c>
      <c r="H122" s="108" t="s">
        <v>58</v>
      </c>
      <c r="I122" s="108">
        <v>1</v>
      </c>
      <c r="J122" s="108" t="s">
        <v>58</v>
      </c>
      <c r="K122" s="108" t="s">
        <v>58</v>
      </c>
      <c r="L122" s="108">
        <v>1</v>
      </c>
      <c r="M122" s="108" t="s">
        <v>58</v>
      </c>
      <c r="N122" s="108" t="s">
        <v>58</v>
      </c>
      <c r="O122" s="108" t="s">
        <v>58</v>
      </c>
      <c r="P122" s="108" t="s">
        <v>58</v>
      </c>
      <c r="Q122" s="108" t="s">
        <v>58</v>
      </c>
      <c r="R122" s="108">
        <v>365</v>
      </c>
      <c r="S122" s="108">
        <v>16</v>
      </c>
      <c r="T122" s="108">
        <v>0</v>
      </c>
      <c r="U122" s="108">
        <v>1</v>
      </c>
      <c r="V122" s="108">
        <v>18</v>
      </c>
      <c r="W122" s="108">
        <v>36</v>
      </c>
      <c r="X122" s="108" t="s">
        <v>58</v>
      </c>
      <c r="Y122" s="108" t="s">
        <v>58</v>
      </c>
      <c r="Z122" s="108" t="s">
        <v>58</v>
      </c>
      <c r="AA122" s="108" t="s">
        <v>58</v>
      </c>
      <c r="AB122" s="108" t="s">
        <v>58</v>
      </c>
      <c r="AC122" s="108">
        <v>1641</v>
      </c>
      <c r="AD122" s="108">
        <v>0</v>
      </c>
      <c r="AE122" s="108">
        <v>1780</v>
      </c>
      <c r="AF122" s="108">
        <v>3</v>
      </c>
      <c r="AG122" s="108">
        <v>2</v>
      </c>
      <c r="AH122" s="108">
        <v>1</v>
      </c>
      <c r="AI122" s="108">
        <v>8840</v>
      </c>
      <c r="AJ122" s="108">
        <v>323</v>
      </c>
      <c r="AK122" s="108">
        <v>25</v>
      </c>
      <c r="AL122" s="108">
        <v>45</v>
      </c>
      <c r="AM122" s="108">
        <v>348</v>
      </c>
      <c r="AN122" s="108">
        <v>649</v>
      </c>
      <c r="AO122" s="108">
        <v>976</v>
      </c>
      <c r="AP122" s="108">
        <v>1322</v>
      </c>
      <c r="AQ122" s="108">
        <v>1176</v>
      </c>
      <c r="AR122" s="108">
        <v>0</v>
      </c>
      <c r="AS122" s="108">
        <v>4.5999999999999996</v>
      </c>
      <c r="AT122" s="108">
        <v>0</v>
      </c>
      <c r="AU122" s="108">
        <v>0</v>
      </c>
      <c r="AV122" s="108">
        <v>0</v>
      </c>
      <c r="AW122" s="108">
        <v>0</v>
      </c>
      <c r="AX122" s="108">
        <v>0</v>
      </c>
      <c r="AY122" s="108">
        <v>22.48</v>
      </c>
      <c r="AZ122" s="108">
        <v>6.35</v>
      </c>
      <c r="BA122" s="108">
        <v>0</v>
      </c>
      <c r="BB122" s="108">
        <v>5.94</v>
      </c>
      <c r="BC122" s="108">
        <v>4.7300000000000004</v>
      </c>
      <c r="BD122" s="108">
        <v>5.46</v>
      </c>
    </row>
    <row r="123" spans="1:56" hidden="1" x14ac:dyDescent="0.25">
      <c r="A123" t="s">
        <v>55</v>
      </c>
      <c r="B123" t="s">
        <v>56</v>
      </c>
      <c r="C123" t="s">
        <v>191</v>
      </c>
      <c r="D123" t="s">
        <v>192</v>
      </c>
      <c r="E123" t="s">
        <v>163</v>
      </c>
      <c r="G123" t="s">
        <v>61</v>
      </c>
      <c r="H123">
        <v>1</v>
      </c>
      <c r="I123" t="s">
        <v>58</v>
      </c>
      <c r="J123">
        <v>0</v>
      </c>
      <c r="K123">
        <v>0</v>
      </c>
      <c r="L123">
        <v>1</v>
      </c>
      <c r="M123" t="s">
        <v>58</v>
      </c>
      <c r="N123" t="s">
        <v>58</v>
      </c>
      <c r="O123" t="s">
        <v>58</v>
      </c>
      <c r="P123" t="s">
        <v>58</v>
      </c>
      <c r="Q123" t="s">
        <v>58</v>
      </c>
      <c r="R123">
        <v>365</v>
      </c>
      <c r="S123">
        <v>16</v>
      </c>
      <c r="T123">
        <v>0</v>
      </c>
      <c r="U123">
        <v>1</v>
      </c>
      <c r="V123">
        <v>18</v>
      </c>
      <c r="W123">
        <v>36</v>
      </c>
      <c r="X123" t="s">
        <v>58</v>
      </c>
      <c r="Y123" t="s">
        <v>58</v>
      </c>
      <c r="Z123" t="s">
        <v>58</v>
      </c>
      <c r="AA123" t="s">
        <v>58</v>
      </c>
      <c r="AB123" t="s">
        <v>58</v>
      </c>
      <c r="AC123">
        <v>1641</v>
      </c>
      <c r="AD123">
        <v>0</v>
      </c>
      <c r="AE123">
        <v>1780</v>
      </c>
      <c r="AF123">
        <v>3</v>
      </c>
      <c r="AG123">
        <v>2</v>
      </c>
      <c r="AH123">
        <v>1</v>
      </c>
      <c r="AI123">
        <v>8840</v>
      </c>
      <c r="AJ123">
        <v>323</v>
      </c>
      <c r="AK123">
        <v>25</v>
      </c>
      <c r="AL123">
        <v>45</v>
      </c>
      <c r="AM123">
        <v>348</v>
      </c>
      <c r="AN123">
        <v>649</v>
      </c>
      <c r="AO123">
        <v>976</v>
      </c>
      <c r="AP123">
        <v>1322</v>
      </c>
      <c r="AQ123">
        <v>1176</v>
      </c>
      <c r="AR123">
        <v>0</v>
      </c>
      <c r="AS123">
        <v>4.5999999999999996</v>
      </c>
      <c r="AT123">
        <v>0</v>
      </c>
      <c r="AU123">
        <v>0</v>
      </c>
      <c r="AV123" t="s">
        <v>58</v>
      </c>
      <c r="AW123" t="s">
        <v>58</v>
      </c>
      <c r="AX123">
        <v>0</v>
      </c>
      <c r="AY123">
        <v>22.48</v>
      </c>
      <c r="AZ123">
        <v>6.35</v>
      </c>
      <c r="BA123">
        <v>0</v>
      </c>
      <c r="BB123">
        <v>5.94</v>
      </c>
      <c r="BC123">
        <v>4.7300000000000004</v>
      </c>
      <c r="BD123">
        <v>5.46</v>
      </c>
    </row>
    <row r="124" spans="1:56" x14ac:dyDescent="0.25">
      <c r="A124" t="s">
        <v>55</v>
      </c>
      <c r="B124" t="s">
        <v>56</v>
      </c>
      <c r="C124" t="s">
        <v>193</v>
      </c>
      <c r="D124" t="s">
        <v>194</v>
      </c>
      <c r="E124" t="s">
        <v>193</v>
      </c>
      <c r="G124" t="s">
        <v>57</v>
      </c>
      <c r="H124" t="s">
        <v>58</v>
      </c>
      <c r="I124">
        <v>2</v>
      </c>
      <c r="J124" t="s">
        <v>58</v>
      </c>
      <c r="K124" t="s">
        <v>58</v>
      </c>
      <c r="L124">
        <v>113</v>
      </c>
      <c r="M124" t="s">
        <v>58</v>
      </c>
      <c r="N124">
        <v>8</v>
      </c>
      <c r="O124" t="s">
        <v>58</v>
      </c>
      <c r="P124" t="s">
        <v>58</v>
      </c>
      <c r="Q124" t="s">
        <v>58</v>
      </c>
      <c r="R124">
        <v>36865</v>
      </c>
      <c r="S124">
        <v>60</v>
      </c>
      <c r="T124">
        <v>6</v>
      </c>
      <c r="U124" t="s">
        <v>58</v>
      </c>
      <c r="V124">
        <v>1357</v>
      </c>
      <c r="W124">
        <v>31806</v>
      </c>
      <c r="X124">
        <v>0</v>
      </c>
      <c r="Y124">
        <v>1663</v>
      </c>
      <c r="Z124">
        <v>0</v>
      </c>
      <c r="AA124">
        <v>0</v>
      </c>
      <c r="AB124">
        <v>0</v>
      </c>
      <c r="AC124">
        <v>9303</v>
      </c>
      <c r="AD124">
        <v>39</v>
      </c>
      <c r="AE124">
        <v>0</v>
      </c>
      <c r="AF124">
        <v>13</v>
      </c>
      <c r="AG124">
        <v>4</v>
      </c>
      <c r="AH124">
        <v>6</v>
      </c>
      <c r="AI124">
        <v>40381</v>
      </c>
      <c r="AJ124">
        <v>1174</v>
      </c>
      <c r="AK124">
        <v>3017</v>
      </c>
      <c r="AL124">
        <v>7239</v>
      </c>
      <c r="AM124">
        <v>1804</v>
      </c>
      <c r="AN124">
        <v>2555</v>
      </c>
      <c r="AO124">
        <v>1</v>
      </c>
      <c r="AP124">
        <v>6596</v>
      </c>
      <c r="AQ124">
        <v>5742</v>
      </c>
      <c r="AR124" t="s">
        <v>58</v>
      </c>
      <c r="AS124">
        <v>14.79</v>
      </c>
      <c r="AT124" t="s">
        <v>58</v>
      </c>
      <c r="AU124">
        <v>4.91</v>
      </c>
      <c r="AV124">
        <v>0</v>
      </c>
      <c r="AW124">
        <v>1</v>
      </c>
      <c r="AX124" t="s">
        <v>58</v>
      </c>
      <c r="AY124">
        <v>281.13</v>
      </c>
      <c r="AZ124">
        <v>156.26</v>
      </c>
      <c r="BA124">
        <v>54.68</v>
      </c>
      <c r="BB124">
        <v>11.02</v>
      </c>
      <c r="BC124">
        <v>0.63</v>
      </c>
      <c r="BD124">
        <v>16.29</v>
      </c>
    </row>
    <row r="125" spans="1:56" x14ac:dyDescent="0.25">
      <c r="A125" t="s">
        <v>55</v>
      </c>
      <c r="B125" t="s">
        <v>56</v>
      </c>
      <c r="C125" t="s">
        <v>193</v>
      </c>
      <c r="D125" t="s">
        <v>194</v>
      </c>
      <c r="E125" t="s">
        <v>193</v>
      </c>
      <c r="F125" s="275">
        <v>460780554</v>
      </c>
      <c r="G125" t="s">
        <v>59</v>
      </c>
      <c r="H125" t="s">
        <v>58</v>
      </c>
      <c r="I125">
        <v>1</v>
      </c>
      <c r="J125" t="s">
        <v>58</v>
      </c>
      <c r="K125" t="s">
        <v>58</v>
      </c>
      <c r="L125">
        <v>17</v>
      </c>
      <c r="M125" t="s">
        <v>58</v>
      </c>
      <c r="N125" t="s">
        <v>58</v>
      </c>
      <c r="O125" t="s">
        <v>58</v>
      </c>
      <c r="P125" t="s">
        <v>58</v>
      </c>
      <c r="Q125" t="s">
        <v>58</v>
      </c>
      <c r="R125">
        <v>5285</v>
      </c>
      <c r="S125">
        <v>25</v>
      </c>
      <c r="T125">
        <v>2</v>
      </c>
      <c r="U125" t="s">
        <v>58</v>
      </c>
      <c r="V125">
        <v>668</v>
      </c>
      <c r="W125">
        <v>3726</v>
      </c>
      <c r="X125">
        <v>0</v>
      </c>
      <c r="Y125" t="s">
        <v>58</v>
      </c>
      <c r="Z125" t="s">
        <v>58</v>
      </c>
      <c r="AA125">
        <v>0</v>
      </c>
      <c r="AB125">
        <v>0</v>
      </c>
      <c r="AC125">
        <v>2303</v>
      </c>
      <c r="AD125">
        <v>3</v>
      </c>
      <c r="AE125">
        <v>0</v>
      </c>
      <c r="AF125">
        <v>6</v>
      </c>
      <c r="AG125">
        <v>1</v>
      </c>
      <c r="AH125">
        <v>6</v>
      </c>
      <c r="AI125">
        <v>15928</v>
      </c>
      <c r="AJ125">
        <v>180</v>
      </c>
      <c r="AK125">
        <v>1621</v>
      </c>
      <c r="AL125">
        <v>531</v>
      </c>
      <c r="AM125">
        <v>70</v>
      </c>
      <c r="AN125">
        <v>14</v>
      </c>
      <c r="AO125">
        <v>126</v>
      </c>
      <c r="AP125">
        <v>1447</v>
      </c>
      <c r="AQ125">
        <v>1210</v>
      </c>
      <c r="AR125" t="s">
        <v>58</v>
      </c>
      <c r="AS125">
        <v>5.91</v>
      </c>
      <c r="AT125" t="s">
        <v>58</v>
      </c>
      <c r="AU125">
        <v>0.69</v>
      </c>
      <c r="AV125">
        <v>0</v>
      </c>
      <c r="AW125">
        <v>1</v>
      </c>
      <c r="AX125" t="s">
        <v>58</v>
      </c>
      <c r="AY125">
        <v>99.58</v>
      </c>
      <c r="AZ125">
        <v>41.66</v>
      </c>
      <c r="BA125">
        <v>12.2</v>
      </c>
      <c r="BB125">
        <v>9.07</v>
      </c>
      <c r="BC125">
        <v>7.72</v>
      </c>
      <c r="BD125">
        <v>16.66</v>
      </c>
    </row>
    <row r="126" spans="1:56" hidden="1" x14ac:dyDescent="0.25">
      <c r="A126" t="s">
        <v>55</v>
      </c>
      <c r="B126" t="s">
        <v>56</v>
      </c>
      <c r="C126" t="s">
        <v>193</v>
      </c>
      <c r="D126" t="s">
        <v>194</v>
      </c>
      <c r="E126" t="s">
        <v>193</v>
      </c>
      <c r="G126" t="s">
        <v>61</v>
      </c>
      <c r="H126">
        <v>1</v>
      </c>
      <c r="I126" t="s">
        <v>58</v>
      </c>
      <c r="J126">
        <v>2</v>
      </c>
      <c r="K126">
        <v>0</v>
      </c>
      <c r="L126">
        <v>130</v>
      </c>
      <c r="M126" t="s">
        <v>58</v>
      </c>
      <c r="N126">
        <v>8</v>
      </c>
      <c r="O126" t="s">
        <v>58</v>
      </c>
      <c r="P126" t="s">
        <v>58</v>
      </c>
      <c r="Q126" t="s">
        <v>58</v>
      </c>
      <c r="R126">
        <v>42150</v>
      </c>
      <c r="S126">
        <v>85</v>
      </c>
      <c r="T126">
        <v>8</v>
      </c>
      <c r="U126" t="s">
        <v>58</v>
      </c>
      <c r="V126">
        <v>2025</v>
      </c>
      <c r="W126">
        <v>35532</v>
      </c>
      <c r="X126">
        <v>0</v>
      </c>
      <c r="Y126">
        <v>1663</v>
      </c>
      <c r="Z126">
        <v>0</v>
      </c>
      <c r="AA126">
        <v>0</v>
      </c>
      <c r="AB126">
        <v>0</v>
      </c>
      <c r="AC126">
        <v>11606</v>
      </c>
      <c r="AD126">
        <v>42</v>
      </c>
      <c r="AE126">
        <v>0</v>
      </c>
      <c r="AF126">
        <v>19</v>
      </c>
      <c r="AG126">
        <v>5</v>
      </c>
      <c r="AH126">
        <v>12</v>
      </c>
      <c r="AI126">
        <v>56309</v>
      </c>
      <c r="AJ126">
        <v>1354</v>
      </c>
      <c r="AK126">
        <v>4638</v>
      </c>
      <c r="AL126">
        <v>7770</v>
      </c>
      <c r="AM126">
        <v>1874</v>
      </c>
      <c r="AN126">
        <v>2569</v>
      </c>
      <c r="AO126">
        <v>127</v>
      </c>
      <c r="AP126">
        <v>7930</v>
      </c>
      <c r="AQ126">
        <v>6878</v>
      </c>
      <c r="AR126" t="s">
        <v>58</v>
      </c>
      <c r="AS126">
        <v>20.7</v>
      </c>
      <c r="AT126" t="s">
        <v>58</v>
      </c>
      <c r="AU126">
        <v>5.6</v>
      </c>
      <c r="AV126" t="s">
        <v>58</v>
      </c>
      <c r="AW126" t="s">
        <v>58</v>
      </c>
      <c r="AX126" t="s">
        <v>58</v>
      </c>
      <c r="AY126">
        <v>380.71</v>
      </c>
      <c r="AZ126">
        <v>197.92</v>
      </c>
      <c r="BA126">
        <v>66.88</v>
      </c>
      <c r="BB126">
        <v>20.09</v>
      </c>
      <c r="BC126">
        <v>8.35</v>
      </c>
      <c r="BD126">
        <v>32.950000000000003</v>
      </c>
    </row>
    <row r="127" spans="1:56" x14ac:dyDescent="0.25">
      <c r="A127" t="s">
        <v>55</v>
      </c>
      <c r="B127" t="s">
        <v>56</v>
      </c>
      <c r="C127" t="s">
        <v>195</v>
      </c>
      <c r="D127" t="s">
        <v>196</v>
      </c>
      <c r="E127" t="s">
        <v>197</v>
      </c>
      <c r="G127" t="s">
        <v>57</v>
      </c>
      <c r="H127" t="s">
        <v>58</v>
      </c>
      <c r="I127">
        <v>1</v>
      </c>
      <c r="J127" t="s">
        <v>58</v>
      </c>
      <c r="K127" t="s">
        <v>58</v>
      </c>
      <c r="L127">
        <v>98</v>
      </c>
      <c r="M127">
        <v>0</v>
      </c>
      <c r="N127">
        <v>0</v>
      </c>
      <c r="O127">
        <v>0</v>
      </c>
      <c r="P127">
        <v>0</v>
      </c>
      <c r="Q127">
        <v>0</v>
      </c>
      <c r="R127">
        <v>35770</v>
      </c>
      <c r="S127">
        <v>30</v>
      </c>
      <c r="T127">
        <v>0</v>
      </c>
      <c r="U127">
        <v>0</v>
      </c>
      <c r="V127">
        <v>912</v>
      </c>
      <c r="W127">
        <v>20408</v>
      </c>
      <c r="X127">
        <v>0</v>
      </c>
      <c r="Y127">
        <v>0</v>
      </c>
      <c r="Z127">
        <v>0</v>
      </c>
      <c r="AA127">
        <v>0</v>
      </c>
      <c r="AB127">
        <v>0</v>
      </c>
      <c r="AC127">
        <v>5003</v>
      </c>
      <c r="AD127">
        <v>0</v>
      </c>
      <c r="AE127">
        <v>0</v>
      </c>
      <c r="AF127">
        <v>5</v>
      </c>
      <c r="AG127">
        <v>1</v>
      </c>
      <c r="AH127">
        <v>0</v>
      </c>
      <c r="AI127">
        <v>27089</v>
      </c>
      <c r="AJ127">
        <v>301</v>
      </c>
      <c r="AK127">
        <v>0</v>
      </c>
      <c r="AL127">
        <v>1021</v>
      </c>
      <c r="AM127">
        <v>663</v>
      </c>
      <c r="AN127">
        <v>150</v>
      </c>
      <c r="AO127">
        <v>0</v>
      </c>
      <c r="AP127">
        <v>3271</v>
      </c>
      <c r="AQ127">
        <v>2764</v>
      </c>
      <c r="AR127" t="s">
        <v>58</v>
      </c>
      <c r="AS127">
        <v>6.7</v>
      </c>
      <c r="AT127" t="s">
        <v>58</v>
      </c>
      <c r="AU127">
        <v>1</v>
      </c>
      <c r="AV127">
        <v>1</v>
      </c>
      <c r="AW127">
        <v>1</v>
      </c>
      <c r="AX127" t="s">
        <v>58</v>
      </c>
      <c r="AY127">
        <v>196.38</v>
      </c>
      <c r="AZ127">
        <v>111.6</v>
      </c>
      <c r="BA127">
        <v>35.58</v>
      </c>
      <c r="BB127">
        <v>8.56</v>
      </c>
      <c r="BC127">
        <v>5.89</v>
      </c>
      <c r="BD127">
        <v>12.01</v>
      </c>
    </row>
    <row r="128" spans="1:56" x14ac:dyDescent="0.25">
      <c r="A128" t="s">
        <v>55</v>
      </c>
      <c r="B128" t="s">
        <v>56</v>
      </c>
      <c r="C128" t="s">
        <v>195</v>
      </c>
      <c r="D128" t="s">
        <v>196</v>
      </c>
      <c r="E128" t="s">
        <v>197</v>
      </c>
      <c r="F128" s="274" t="s">
        <v>197</v>
      </c>
      <c r="G128" t="s">
        <v>59</v>
      </c>
      <c r="H128" t="s">
        <v>58</v>
      </c>
      <c r="I128">
        <v>1</v>
      </c>
      <c r="J128" t="s">
        <v>58</v>
      </c>
      <c r="K128" t="s">
        <v>58</v>
      </c>
      <c r="L128">
        <v>6</v>
      </c>
      <c r="M128">
        <v>0</v>
      </c>
      <c r="N128" t="s">
        <v>58</v>
      </c>
      <c r="O128" t="s">
        <v>58</v>
      </c>
      <c r="P128">
        <v>0</v>
      </c>
      <c r="Q128">
        <v>0</v>
      </c>
      <c r="R128">
        <v>1560</v>
      </c>
      <c r="S128">
        <v>24</v>
      </c>
      <c r="T128">
        <v>0</v>
      </c>
      <c r="U128">
        <v>0</v>
      </c>
      <c r="V128">
        <v>298</v>
      </c>
      <c r="W128">
        <v>596</v>
      </c>
      <c r="X128">
        <v>0</v>
      </c>
      <c r="Y128" t="s">
        <v>58</v>
      </c>
      <c r="Z128" t="s">
        <v>58</v>
      </c>
      <c r="AA128" t="s">
        <v>58</v>
      </c>
      <c r="AB128">
        <v>0</v>
      </c>
      <c r="AC128">
        <v>1520</v>
      </c>
      <c r="AD128">
        <v>0</v>
      </c>
      <c r="AE128">
        <v>0</v>
      </c>
      <c r="AF128">
        <v>6</v>
      </c>
      <c r="AG128">
        <v>1</v>
      </c>
      <c r="AH128">
        <v>0</v>
      </c>
      <c r="AI128">
        <v>16191</v>
      </c>
      <c r="AJ128">
        <v>104</v>
      </c>
      <c r="AK128">
        <v>0</v>
      </c>
      <c r="AL128">
        <v>22</v>
      </c>
      <c r="AM128">
        <v>8</v>
      </c>
      <c r="AN128">
        <v>4</v>
      </c>
      <c r="AO128">
        <v>40</v>
      </c>
      <c r="AP128">
        <v>843</v>
      </c>
      <c r="AQ128">
        <v>710</v>
      </c>
      <c r="AR128" t="s">
        <v>58</v>
      </c>
      <c r="AS128">
        <v>1.1499999999999999</v>
      </c>
      <c r="AT128" t="s">
        <v>58</v>
      </c>
      <c r="AU128" t="s">
        <v>58</v>
      </c>
      <c r="AV128">
        <v>0</v>
      </c>
      <c r="AW128">
        <v>0</v>
      </c>
      <c r="AX128" t="s">
        <v>58</v>
      </c>
      <c r="AY128">
        <v>59.51</v>
      </c>
      <c r="AZ128">
        <v>23.4</v>
      </c>
      <c r="BA128" t="s">
        <v>58</v>
      </c>
      <c r="BB128">
        <v>8.3800000000000008</v>
      </c>
      <c r="BC128">
        <v>5.05</v>
      </c>
      <c r="BD128">
        <v>18.36</v>
      </c>
    </row>
    <row r="129" spans="1:56" x14ac:dyDescent="0.25">
      <c r="A129" t="s">
        <v>55</v>
      </c>
      <c r="B129" t="s">
        <v>56</v>
      </c>
      <c r="C129" t="s">
        <v>195</v>
      </c>
      <c r="D129" t="s">
        <v>196</v>
      </c>
      <c r="E129" t="s">
        <v>197</v>
      </c>
      <c r="F129" s="274" t="s">
        <v>197</v>
      </c>
      <c r="G129" t="s">
        <v>60</v>
      </c>
      <c r="H129" t="s">
        <v>58</v>
      </c>
      <c r="I129" t="s">
        <v>58</v>
      </c>
      <c r="J129" t="s">
        <v>58</v>
      </c>
      <c r="K129" t="s">
        <v>58</v>
      </c>
      <c r="L129">
        <v>0</v>
      </c>
      <c r="M129" t="s">
        <v>58</v>
      </c>
      <c r="N129" t="s">
        <v>58</v>
      </c>
      <c r="O129" t="s">
        <v>58</v>
      </c>
      <c r="P129" t="s">
        <v>58</v>
      </c>
      <c r="Q129" t="s">
        <v>58</v>
      </c>
      <c r="R129">
        <v>0</v>
      </c>
      <c r="S129">
        <v>0</v>
      </c>
      <c r="T129" t="s">
        <v>58</v>
      </c>
      <c r="U129">
        <v>0</v>
      </c>
      <c r="V129">
        <v>0</v>
      </c>
      <c r="W129" t="s">
        <v>58</v>
      </c>
      <c r="X129" t="s">
        <v>58</v>
      </c>
      <c r="Y129" t="s">
        <v>58</v>
      </c>
      <c r="Z129" t="s">
        <v>58</v>
      </c>
      <c r="AA129" t="s">
        <v>58</v>
      </c>
      <c r="AB129" t="s">
        <v>58</v>
      </c>
      <c r="AC129" t="s">
        <v>58</v>
      </c>
      <c r="AD129" t="s">
        <v>58</v>
      </c>
      <c r="AE129">
        <v>0</v>
      </c>
      <c r="AF129" t="s">
        <v>58</v>
      </c>
      <c r="AG129" t="s">
        <v>58</v>
      </c>
      <c r="AH129" t="s">
        <v>58</v>
      </c>
      <c r="AI129" t="s">
        <v>58</v>
      </c>
      <c r="AJ129" t="s">
        <v>58</v>
      </c>
      <c r="AK129" t="s">
        <v>58</v>
      </c>
      <c r="AL129">
        <v>744</v>
      </c>
      <c r="AM129" t="s">
        <v>58</v>
      </c>
      <c r="AN129" t="s">
        <v>58</v>
      </c>
      <c r="AO129" t="s">
        <v>58</v>
      </c>
      <c r="AP129" t="s">
        <v>58</v>
      </c>
      <c r="AQ129" t="s">
        <v>58</v>
      </c>
      <c r="AR129" t="s">
        <v>58</v>
      </c>
      <c r="AS129" t="s">
        <v>58</v>
      </c>
      <c r="AT129" t="s">
        <v>58</v>
      </c>
      <c r="AU129" t="s">
        <v>58</v>
      </c>
      <c r="AV129" t="s">
        <v>58</v>
      </c>
      <c r="AW129" t="s">
        <v>58</v>
      </c>
      <c r="AX129" t="s">
        <v>58</v>
      </c>
      <c r="AY129" t="s">
        <v>58</v>
      </c>
      <c r="AZ129" t="s">
        <v>58</v>
      </c>
      <c r="BA129" t="s">
        <v>58</v>
      </c>
      <c r="BB129" t="s">
        <v>58</v>
      </c>
      <c r="BC129" t="s">
        <v>58</v>
      </c>
      <c r="BD129" t="s">
        <v>58</v>
      </c>
    </row>
    <row r="130" spans="1:56" hidden="1" x14ac:dyDescent="0.25">
      <c r="A130" t="s">
        <v>55</v>
      </c>
      <c r="B130" t="s">
        <v>56</v>
      </c>
      <c r="C130" t="s">
        <v>195</v>
      </c>
      <c r="D130" t="s">
        <v>196</v>
      </c>
      <c r="E130" t="s">
        <v>197</v>
      </c>
      <c r="G130" t="s">
        <v>61</v>
      </c>
      <c r="H130">
        <v>1</v>
      </c>
      <c r="I130" t="s">
        <v>58</v>
      </c>
      <c r="J130">
        <v>0</v>
      </c>
      <c r="K130">
        <v>1</v>
      </c>
      <c r="L130">
        <v>104</v>
      </c>
      <c r="M130">
        <v>0</v>
      </c>
      <c r="N130">
        <v>0</v>
      </c>
      <c r="O130">
        <v>0</v>
      </c>
      <c r="P130">
        <v>0</v>
      </c>
      <c r="Q130">
        <v>0</v>
      </c>
      <c r="R130">
        <v>37330</v>
      </c>
      <c r="S130">
        <v>54</v>
      </c>
      <c r="T130">
        <v>0</v>
      </c>
      <c r="U130">
        <v>0</v>
      </c>
      <c r="V130">
        <v>1210</v>
      </c>
      <c r="W130">
        <v>21004</v>
      </c>
      <c r="X130">
        <v>0</v>
      </c>
      <c r="Y130">
        <v>0</v>
      </c>
      <c r="Z130">
        <v>0</v>
      </c>
      <c r="AA130">
        <v>0</v>
      </c>
      <c r="AB130">
        <v>0</v>
      </c>
      <c r="AC130">
        <v>6523</v>
      </c>
      <c r="AD130">
        <v>0</v>
      </c>
      <c r="AE130">
        <v>0</v>
      </c>
      <c r="AF130">
        <v>11</v>
      </c>
      <c r="AG130">
        <v>2</v>
      </c>
      <c r="AH130">
        <v>0</v>
      </c>
      <c r="AI130">
        <v>43280</v>
      </c>
      <c r="AJ130">
        <v>405</v>
      </c>
      <c r="AK130">
        <v>0</v>
      </c>
      <c r="AL130">
        <v>1787</v>
      </c>
      <c r="AM130">
        <v>671</v>
      </c>
      <c r="AN130">
        <v>154</v>
      </c>
      <c r="AO130">
        <v>40</v>
      </c>
      <c r="AP130">
        <v>4084</v>
      </c>
      <c r="AQ130">
        <v>3447</v>
      </c>
      <c r="AR130" t="s">
        <v>58</v>
      </c>
      <c r="AS130">
        <v>7.85</v>
      </c>
      <c r="AT130" t="s">
        <v>58</v>
      </c>
      <c r="AU130">
        <v>1</v>
      </c>
      <c r="AV130" t="s">
        <v>58</v>
      </c>
      <c r="AW130" t="s">
        <v>58</v>
      </c>
      <c r="AX130" t="s">
        <v>58</v>
      </c>
      <c r="AY130">
        <v>255.89</v>
      </c>
      <c r="AZ130">
        <v>135</v>
      </c>
      <c r="BA130">
        <v>35.58</v>
      </c>
      <c r="BB130">
        <v>16.940000000000001</v>
      </c>
      <c r="BC130">
        <v>10.94</v>
      </c>
      <c r="BD130">
        <v>30.37</v>
      </c>
    </row>
    <row r="131" spans="1:56" x14ac:dyDescent="0.25">
      <c r="A131" t="s">
        <v>55</v>
      </c>
      <c r="B131" t="s">
        <v>56</v>
      </c>
      <c r="C131" t="s">
        <v>198</v>
      </c>
      <c r="D131" t="s">
        <v>199</v>
      </c>
      <c r="E131" t="s">
        <v>200</v>
      </c>
      <c r="G131" t="s">
        <v>57</v>
      </c>
      <c r="H131" t="s">
        <v>58</v>
      </c>
      <c r="I131">
        <v>4</v>
      </c>
      <c r="J131" t="s">
        <v>58</v>
      </c>
      <c r="K131" t="s">
        <v>58</v>
      </c>
      <c r="L131">
        <v>201</v>
      </c>
      <c r="M131" t="s">
        <v>58</v>
      </c>
      <c r="N131" t="s">
        <v>58</v>
      </c>
      <c r="O131">
        <v>17</v>
      </c>
      <c r="P131" t="s">
        <v>58</v>
      </c>
      <c r="Q131">
        <v>19</v>
      </c>
      <c r="R131">
        <v>73555</v>
      </c>
      <c r="S131">
        <v>84</v>
      </c>
      <c r="T131">
        <v>5</v>
      </c>
      <c r="U131">
        <v>0</v>
      </c>
      <c r="V131">
        <v>1954</v>
      </c>
      <c r="W131">
        <v>59920</v>
      </c>
      <c r="X131" t="s">
        <v>58</v>
      </c>
      <c r="Y131" t="s">
        <v>58</v>
      </c>
      <c r="Z131">
        <v>4551</v>
      </c>
      <c r="AA131" t="s">
        <v>58</v>
      </c>
      <c r="AB131">
        <v>5708</v>
      </c>
      <c r="AC131">
        <v>9736</v>
      </c>
      <c r="AD131">
        <v>35</v>
      </c>
      <c r="AE131" t="s">
        <v>58</v>
      </c>
      <c r="AF131">
        <v>11</v>
      </c>
      <c r="AG131">
        <v>3</v>
      </c>
      <c r="AH131">
        <v>6</v>
      </c>
      <c r="AI131">
        <v>74193</v>
      </c>
      <c r="AJ131">
        <v>901</v>
      </c>
      <c r="AK131">
        <v>16599</v>
      </c>
      <c r="AL131">
        <v>13492</v>
      </c>
      <c r="AM131">
        <v>982</v>
      </c>
      <c r="AN131">
        <v>3968</v>
      </c>
      <c r="AO131">
        <v>1</v>
      </c>
      <c r="AP131">
        <v>9856</v>
      </c>
      <c r="AQ131">
        <v>7849</v>
      </c>
      <c r="AR131" t="s">
        <v>58</v>
      </c>
      <c r="AS131">
        <v>19.63</v>
      </c>
      <c r="AT131" t="s">
        <v>58</v>
      </c>
      <c r="AU131">
        <v>3.48</v>
      </c>
      <c r="AV131">
        <v>1</v>
      </c>
      <c r="AW131">
        <v>1</v>
      </c>
      <c r="AX131" t="s">
        <v>58</v>
      </c>
      <c r="AY131">
        <v>347.18</v>
      </c>
      <c r="AZ131">
        <v>257.64999999999998</v>
      </c>
      <c r="BA131">
        <v>29.39</v>
      </c>
      <c r="BB131">
        <v>12.7</v>
      </c>
      <c r="BC131" t="s">
        <v>58</v>
      </c>
      <c r="BD131">
        <v>11.89</v>
      </c>
    </row>
    <row r="132" spans="1:56" x14ac:dyDescent="0.25">
      <c r="A132" t="s">
        <v>55</v>
      </c>
      <c r="B132" t="s">
        <v>56</v>
      </c>
      <c r="C132" t="s">
        <v>198</v>
      </c>
      <c r="D132" t="s">
        <v>199</v>
      </c>
      <c r="E132" t="s">
        <v>200</v>
      </c>
      <c r="F132" s="276" t="s">
        <v>200</v>
      </c>
      <c r="G132" t="s">
        <v>59</v>
      </c>
      <c r="H132" t="s">
        <v>58</v>
      </c>
      <c r="I132">
        <v>1</v>
      </c>
      <c r="J132" t="s">
        <v>58</v>
      </c>
      <c r="K132" t="s">
        <v>58</v>
      </c>
      <c r="L132">
        <v>14</v>
      </c>
      <c r="M132">
        <v>7</v>
      </c>
      <c r="N132" t="s">
        <v>58</v>
      </c>
      <c r="O132" t="s">
        <v>58</v>
      </c>
      <c r="P132" t="s">
        <v>58</v>
      </c>
      <c r="Q132" t="s">
        <v>58</v>
      </c>
      <c r="R132">
        <v>4256</v>
      </c>
      <c r="S132">
        <v>69</v>
      </c>
      <c r="T132" t="s">
        <v>58</v>
      </c>
      <c r="U132">
        <v>0</v>
      </c>
      <c r="V132">
        <v>135</v>
      </c>
      <c r="W132">
        <v>2865</v>
      </c>
      <c r="X132">
        <v>539</v>
      </c>
      <c r="Y132" t="s">
        <v>58</v>
      </c>
      <c r="Z132" t="s">
        <v>58</v>
      </c>
      <c r="AA132" t="s">
        <v>58</v>
      </c>
      <c r="AB132" t="s">
        <v>58</v>
      </c>
      <c r="AC132">
        <v>6485</v>
      </c>
      <c r="AD132">
        <v>0</v>
      </c>
      <c r="AE132" t="s">
        <v>58</v>
      </c>
      <c r="AF132">
        <v>6</v>
      </c>
      <c r="AG132">
        <v>2</v>
      </c>
      <c r="AH132">
        <v>6</v>
      </c>
      <c r="AI132">
        <v>15622</v>
      </c>
      <c r="AJ132">
        <v>922</v>
      </c>
      <c r="AK132">
        <v>7733</v>
      </c>
      <c r="AL132">
        <v>747</v>
      </c>
      <c r="AM132">
        <v>119</v>
      </c>
      <c r="AN132">
        <v>583</v>
      </c>
      <c r="AO132">
        <v>85</v>
      </c>
      <c r="AP132">
        <v>1677</v>
      </c>
      <c r="AQ132">
        <v>1481</v>
      </c>
      <c r="AR132" t="s">
        <v>58</v>
      </c>
      <c r="AS132">
        <v>3.03</v>
      </c>
      <c r="AT132" t="s">
        <v>58</v>
      </c>
      <c r="AU132">
        <v>1.67</v>
      </c>
      <c r="AV132">
        <v>1</v>
      </c>
      <c r="AW132">
        <v>1</v>
      </c>
      <c r="AX132" t="s">
        <v>58</v>
      </c>
      <c r="AY132">
        <v>104.33</v>
      </c>
      <c r="AZ132">
        <v>48.05</v>
      </c>
      <c r="BA132" t="s">
        <v>58</v>
      </c>
      <c r="BB132">
        <v>14.59</v>
      </c>
      <c r="BC132">
        <v>4.54</v>
      </c>
      <c r="BD132">
        <v>23.57</v>
      </c>
    </row>
    <row r="133" spans="1:56" x14ac:dyDescent="0.25">
      <c r="A133" t="s">
        <v>55</v>
      </c>
      <c r="B133" t="s">
        <v>56</v>
      </c>
      <c r="C133" t="s">
        <v>198</v>
      </c>
      <c r="D133" t="s">
        <v>199</v>
      </c>
      <c r="E133" t="s">
        <v>200</v>
      </c>
      <c r="F133" s="276" t="s">
        <v>200</v>
      </c>
      <c r="G133" t="s">
        <v>60</v>
      </c>
      <c r="H133" t="s">
        <v>58</v>
      </c>
      <c r="I133" t="s">
        <v>58</v>
      </c>
      <c r="J133" t="s">
        <v>58</v>
      </c>
      <c r="K133" t="s">
        <v>58</v>
      </c>
      <c r="L133" t="s">
        <v>58</v>
      </c>
      <c r="M133" t="s">
        <v>58</v>
      </c>
      <c r="N133" t="s">
        <v>58</v>
      </c>
      <c r="O133" t="s">
        <v>58</v>
      </c>
      <c r="P133" t="s">
        <v>58</v>
      </c>
      <c r="Q133" t="s">
        <v>58</v>
      </c>
      <c r="R133" t="s">
        <v>58</v>
      </c>
      <c r="S133" t="s">
        <v>58</v>
      </c>
      <c r="T133" t="s">
        <v>58</v>
      </c>
      <c r="U133" t="s">
        <v>58</v>
      </c>
      <c r="V133" t="s">
        <v>58</v>
      </c>
      <c r="W133" t="s">
        <v>58</v>
      </c>
      <c r="X133" t="s">
        <v>58</v>
      </c>
      <c r="Y133" t="s">
        <v>58</v>
      </c>
      <c r="Z133" t="s">
        <v>58</v>
      </c>
      <c r="AA133" t="s">
        <v>58</v>
      </c>
      <c r="AB133" t="s">
        <v>58</v>
      </c>
      <c r="AC133" t="s">
        <v>58</v>
      </c>
      <c r="AD133" t="s">
        <v>58</v>
      </c>
      <c r="AE133" t="s">
        <v>58</v>
      </c>
      <c r="AF133" t="s">
        <v>58</v>
      </c>
      <c r="AG133" t="s">
        <v>58</v>
      </c>
      <c r="AH133" t="s">
        <v>58</v>
      </c>
      <c r="AI133" t="s">
        <v>58</v>
      </c>
      <c r="AJ133" t="s">
        <v>58</v>
      </c>
      <c r="AK133" t="s">
        <v>58</v>
      </c>
      <c r="AL133" t="s">
        <v>58</v>
      </c>
      <c r="AM133" t="s">
        <v>58</v>
      </c>
      <c r="AN133" t="s">
        <v>58</v>
      </c>
      <c r="AO133" t="s">
        <v>58</v>
      </c>
      <c r="AP133">
        <v>358</v>
      </c>
      <c r="AQ133">
        <v>342</v>
      </c>
      <c r="AR133" t="s">
        <v>58</v>
      </c>
      <c r="AS133">
        <v>0.3</v>
      </c>
      <c r="AT133" t="s">
        <v>58</v>
      </c>
      <c r="AU133">
        <v>0.1</v>
      </c>
      <c r="AV133" t="s">
        <v>58</v>
      </c>
      <c r="AW133" t="s">
        <v>58</v>
      </c>
      <c r="AX133" t="s">
        <v>58</v>
      </c>
      <c r="AY133">
        <v>1.8</v>
      </c>
      <c r="AZ133">
        <v>1.34</v>
      </c>
      <c r="BA133" t="s">
        <v>58</v>
      </c>
      <c r="BB133">
        <v>0.47</v>
      </c>
      <c r="BC133" t="s">
        <v>58</v>
      </c>
      <c r="BD133" t="s">
        <v>58</v>
      </c>
    </row>
    <row r="134" spans="1:56" hidden="1" x14ac:dyDescent="0.25">
      <c r="A134" t="s">
        <v>55</v>
      </c>
      <c r="B134" t="s">
        <v>56</v>
      </c>
      <c r="C134" t="s">
        <v>198</v>
      </c>
      <c r="D134" t="s">
        <v>199</v>
      </c>
      <c r="E134" t="s">
        <v>200</v>
      </c>
      <c r="G134" t="s">
        <v>61</v>
      </c>
      <c r="H134">
        <v>1</v>
      </c>
      <c r="I134" t="s">
        <v>58</v>
      </c>
      <c r="J134">
        <v>4</v>
      </c>
      <c r="K134">
        <v>1</v>
      </c>
      <c r="L134">
        <v>215</v>
      </c>
      <c r="M134">
        <v>7</v>
      </c>
      <c r="N134" t="s">
        <v>58</v>
      </c>
      <c r="O134">
        <v>17</v>
      </c>
      <c r="P134" t="s">
        <v>58</v>
      </c>
      <c r="Q134">
        <v>19</v>
      </c>
      <c r="R134">
        <v>77811</v>
      </c>
      <c r="S134">
        <v>153</v>
      </c>
      <c r="T134">
        <v>5</v>
      </c>
      <c r="U134">
        <v>0</v>
      </c>
      <c r="V134">
        <v>2089</v>
      </c>
      <c r="W134">
        <v>62785</v>
      </c>
      <c r="X134">
        <v>539</v>
      </c>
      <c r="Y134" t="s">
        <v>58</v>
      </c>
      <c r="Z134">
        <v>4551</v>
      </c>
      <c r="AA134" t="s">
        <v>58</v>
      </c>
      <c r="AB134">
        <v>5708</v>
      </c>
      <c r="AC134">
        <v>16221</v>
      </c>
      <c r="AD134">
        <v>35</v>
      </c>
      <c r="AE134" t="s">
        <v>58</v>
      </c>
      <c r="AF134">
        <v>17</v>
      </c>
      <c r="AG134">
        <v>5</v>
      </c>
      <c r="AH134">
        <v>12</v>
      </c>
      <c r="AI134">
        <v>89815</v>
      </c>
      <c r="AJ134">
        <v>1823</v>
      </c>
      <c r="AK134">
        <v>24332</v>
      </c>
      <c r="AL134">
        <v>14239</v>
      </c>
      <c r="AM134">
        <v>1101</v>
      </c>
      <c r="AN134">
        <v>4551</v>
      </c>
      <c r="AO134">
        <v>86</v>
      </c>
      <c r="AP134">
        <v>11376</v>
      </c>
      <c r="AQ134">
        <v>9602</v>
      </c>
      <c r="AR134" t="s">
        <v>58</v>
      </c>
      <c r="AS134">
        <v>22.96</v>
      </c>
      <c r="AT134" t="s">
        <v>58</v>
      </c>
      <c r="AU134">
        <v>5.25</v>
      </c>
      <c r="AV134" t="s">
        <v>58</v>
      </c>
      <c r="AW134" t="s">
        <v>58</v>
      </c>
      <c r="AX134" t="s">
        <v>58</v>
      </c>
      <c r="AY134">
        <v>453.31</v>
      </c>
      <c r="AZ134">
        <v>307.04000000000002</v>
      </c>
      <c r="BA134">
        <v>29.39</v>
      </c>
      <c r="BB134">
        <v>27.76</v>
      </c>
      <c r="BC134">
        <v>4.54</v>
      </c>
      <c r="BD134">
        <v>35.46</v>
      </c>
    </row>
    <row r="135" spans="1:56" x14ac:dyDescent="0.25">
      <c r="A135" t="s">
        <v>55</v>
      </c>
      <c r="B135" t="s">
        <v>56</v>
      </c>
      <c r="C135" t="s">
        <v>201</v>
      </c>
      <c r="D135" t="s">
        <v>202</v>
      </c>
      <c r="E135" t="s">
        <v>203</v>
      </c>
      <c r="G135" t="s">
        <v>57</v>
      </c>
      <c r="H135" t="s">
        <v>58</v>
      </c>
      <c r="I135" t="s">
        <v>58</v>
      </c>
      <c r="J135" t="s">
        <v>58</v>
      </c>
      <c r="K135" t="s">
        <v>58</v>
      </c>
      <c r="L135">
        <v>49</v>
      </c>
      <c r="M135" t="s">
        <v>58</v>
      </c>
      <c r="N135" t="s">
        <v>58</v>
      </c>
      <c r="O135" t="s">
        <v>58</v>
      </c>
      <c r="P135" t="s">
        <v>58</v>
      </c>
      <c r="Q135" t="s">
        <v>58</v>
      </c>
      <c r="R135">
        <v>17885</v>
      </c>
      <c r="S135">
        <v>12</v>
      </c>
      <c r="T135" t="s">
        <v>58</v>
      </c>
      <c r="U135" t="s">
        <v>58</v>
      </c>
      <c r="V135">
        <v>335</v>
      </c>
      <c r="W135">
        <v>14171</v>
      </c>
      <c r="X135" t="s">
        <v>58</v>
      </c>
      <c r="Y135" t="s">
        <v>58</v>
      </c>
      <c r="Z135" t="s">
        <v>58</v>
      </c>
      <c r="AA135" t="s">
        <v>58</v>
      </c>
      <c r="AB135" t="s">
        <v>58</v>
      </c>
      <c r="AC135">
        <v>1203</v>
      </c>
      <c r="AD135" t="s">
        <v>58</v>
      </c>
      <c r="AE135" t="s">
        <v>58</v>
      </c>
      <c r="AF135" t="s">
        <v>58</v>
      </c>
      <c r="AG135" t="s">
        <v>58</v>
      </c>
      <c r="AH135" t="s">
        <v>58</v>
      </c>
      <c r="AI135" t="s">
        <v>58</v>
      </c>
      <c r="AJ135" t="s">
        <v>58</v>
      </c>
      <c r="AK135" t="s">
        <v>58</v>
      </c>
      <c r="AL135" t="s">
        <v>58</v>
      </c>
      <c r="AM135" t="s">
        <v>58</v>
      </c>
      <c r="AN135" t="s">
        <v>58</v>
      </c>
      <c r="AO135" t="s">
        <v>58</v>
      </c>
      <c r="AP135">
        <v>460</v>
      </c>
      <c r="AQ135" t="s">
        <v>58</v>
      </c>
      <c r="AR135">
        <v>4</v>
      </c>
      <c r="AS135" t="s">
        <v>58</v>
      </c>
      <c r="AT135" t="s">
        <v>58</v>
      </c>
      <c r="AU135" t="s">
        <v>58</v>
      </c>
      <c r="AV135">
        <v>0</v>
      </c>
      <c r="AW135">
        <v>1</v>
      </c>
      <c r="AX135" t="s">
        <v>58</v>
      </c>
      <c r="AY135">
        <v>14.8</v>
      </c>
      <c r="AZ135">
        <v>3.2</v>
      </c>
      <c r="BA135" t="s">
        <v>58</v>
      </c>
      <c r="BB135" t="s">
        <v>58</v>
      </c>
      <c r="BC135">
        <v>1</v>
      </c>
      <c r="BD135" t="s">
        <v>58</v>
      </c>
    </row>
    <row r="136" spans="1:56" hidden="1" x14ac:dyDescent="0.25">
      <c r="A136" t="s">
        <v>55</v>
      </c>
      <c r="B136" t="s">
        <v>56</v>
      </c>
      <c r="C136" t="s">
        <v>201</v>
      </c>
      <c r="D136" t="s">
        <v>202</v>
      </c>
      <c r="E136" t="s">
        <v>203</v>
      </c>
      <c r="G136" t="s">
        <v>61</v>
      </c>
      <c r="H136">
        <v>0</v>
      </c>
      <c r="I136" t="s">
        <v>58</v>
      </c>
      <c r="J136" t="s">
        <v>58</v>
      </c>
      <c r="K136">
        <v>0</v>
      </c>
      <c r="L136">
        <v>49</v>
      </c>
      <c r="M136" t="s">
        <v>58</v>
      </c>
      <c r="N136" t="s">
        <v>58</v>
      </c>
      <c r="O136" t="s">
        <v>58</v>
      </c>
      <c r="P136" t="s">
        <v>58</v>
      </c>
      <c r="Q136" t="s">
        <v>58</v>
      </c>
      <c r="R136">
        <v>17885</v>
      </c>
      <c r="S136">
        <v>12</v>
      </c>
      <c r="T136" t="s">
        <v>58</v>
      </c>
      <c r="U136" t="s">
        <v>58</v>
      </c>
      <c r="V136">
        <v>335</v>
      </c>
      <c r="W136">
        <v>14171</v>
      </c>
      <c r="X136" t="s">
        <v>58</v>
      </c>
      <c r="Y136" t="s">
        <v>58</v>
      </c>
      <c r="Z136" t="s">
        <v>58</v>
      </c>
      <c r="AA136" t="s">
        <v>58</v>
      </c>
      <c r="AB136" t="s">
        <v>58</v>
      </c>
      <c r="AC136">
        <v>1203</v>
      </c>
      <c r="AD136" t="s">
        <v>58</v>
      </c>
      <c r="AE136" t="s">
        <v>58</v>
      </c>
      <c r="AF136" t="s">
        <v>58</v>
      </c>
      <c r="AG136" t="s">
        <v>58</v>
      </c>
      <c r="AH136" t="s">
        <v>58</v>
      </c>
      <c r="AI136" t="s">
        <v>58</v>
      </c>
      <c r="AJ136" t="s">
        <v>58</v>
      </c>
      <c r="AK136" t="s">
        <v>58</v>
      </c>
      <c r="AL136" t="s">
        <v>58</v>
      </c>
      <c r="AM136" t="s">
        <v>58</v>
      </c>
      <c r="AN136" t="s">
        <v>58</v>
      </c>
      <c r="AO136" t="s">
        <v>58</v>
      </c>
      <c r="AP136">
        <v>460</v>
      </c>
      <c r="AQ136" t="s">
        <v>58</v>
      </c>
      <c r="AR136">
        <v>4</v>
      </c>
      <c r="AS136" t="s">
        <v>58</v>
      </c>
      <c r="AT136" t="s">
        <v>58</v>
      </c>
      <c r="AU136" t="s">
        <v>58</v>
      </c>
      <c r="AV136" t="s">
        <v>58</v>
      </c>
      <c r="AW136" t="s">
        <v>58</v>
      </c>
      <c r="AX136" t="s">
        <v>58</v>
      </c>
      <c r="AY136">
        <v>14.8</v>
      </c>
      <c r="AZ136">
        <v>3.2</v>
      </c>
      <c r="BA136" t="s">
        <v>58</v>
      </c>
      <c r="BB136" t="s">
        <v>58</v>
      </c>
      <c r="BC136">
        <v>1</v>
      </c>
      <c r="BD136" t="s">
        <v>58</v>
      </c>
    </row>
    <row r="137" spans="1:56" x14ac:dyDescent="0.25">
      <c r="A137" t="s">
        <v>55</v>
      </c>
      <c r="B137" t="s">
        <v>56</v>
      </c>
      <c r="C137" t="s">
        <v>204</v>
      </c>
      <c r="D137" t="s">
        <v>205</v>
      </c>
      <c r="E137" t="s">
        <v>206</v>
      </c>
      <c r="G137" t="s">
        <v>57</v>
      </c>
      <c r="H137" t="s">
        <v>58</v>
      </c>
      <c r="I137" t="s">
        <v>58</v>
      </c>
      <c r="J137" t="s">
        <v>58</v>
      </c>
      <c r="K137" t="s">
        <v>58</v>
      </c>
      <c r="L137">
        <v>43</v>
      </c>
      <c r="M137">
        <v>0</v>
      </c>
      <c r="N137">
        <v>0</v>
      </c>
      <c r="O137">
        <v>0</v>
      </c>
      <c r="P137">
        <v>0</v>
      </c>
      <c r="Q137">
        <v>0</v>
      </c>
      <c r="R137">
        <v>15695</v>
      </c>
      <c r="S137">
        <v>0</v>
      </c>
      <c r="T137">
        <v>0</v>
      </c>
      <c r="U137">
        <v>0</v>
      </c>
      <c r="V137">
        <v>381</v>
      </c>
      <c r="W137">
        <v>13977</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306</v>
      </c>
      <c r="AQ137">
        <v>0</v>
      </c>
      <c r="AR137">
        <v>2</v>
      </c>
      <c r="AS137">
        <v>0</v>
      </c>
      <c r="AT137">
        <v>0</v>
      </c>
      <c r="AU137">
        <v>2</v>
      </c>
      <c r="AV137">
        <v>0</v>
      </c>
      <c r="AW137">
        <v>1</v>
      </c>
      <c r="AX137">
        <v>0</v>
      </c>
      <c r="AY137">
        <v>21.75</v>
      </c>
      <c r="AZ137">
        <v>9.19</v>
      </c>
      <c r="BA137">
        <v>10.71</v>
      </c>
      <c r="BB137">
        <v>0.85</v>
      </c>
      <c r="BC137">
        <v>0</v>
      </c>
      <c r="BD137">
        <v>1</v>
      </c>
    </row>
    <row r="138" spans="1:56" hidden="1" x14ac:dyDescent="0.25">
      <c r="A138" t="s">
        <v>55</v>
      </c>
      <c r="B138" t="s">
        <v>56</v>
      </c>
      <c r="C138" t="s">
        <v>204</v>
      </c>
      <c r="D138" t="s">
        <v>205</v>
      </c>
      <c r="E138" t="s">
        <v>206</v>
      </c>
      <c r="G138" t="s">
        <v>61</v>
      </c>
      <c r="H138">
        <v>0</v>
      </c>
      <c r="I138" t="s">
        <v>58</v>
      </c>
      <c r="J138" t="s">
        <v>58</v>
      </c>
      <c r="K138">
        <v>0</v>
      </c>
      <c r="L138">
        <v>43</v>
      </c>
      <c r="M138">
        <v>0</v>
      </c>
      <c r="N138">
        <v>0</v>
      </c>
      <c r="O138">
        <v>0</v>
      </c>
      <c r="P138">
        <v>0</v>
      </c>
      <c r="Q138">
        <v>0</v>
      </c>
      <c r="R138">
        <v>15695</v>
      </c>
      <c r="S138">
        <v>0</v>
      </c>
      <c r="T138">
        <v>0</v>
      </c>
      <c r="U138">
        <v>0</v>
      </c>
      <c r="V138">
        <v>381</v>
      </c>
      <c r="W138">
        <v>13977</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306</v>
      </c>
      <c r="AQ138">
        <v>0</v>
      </c>
      <c r="AR138">
        <v>2</v>
      </c>
      <c r="AS138">
        <v>0</v>
      </c>
      <c r="AT138">
        <v>0</v>
      </c>
      <c r="AU138">
        <v>2</v>
      </c>
      <c r="AV138" t="s">
        <v>58</v>
      </c>
      <c r="AW138" t="s">
        <v>58</v>
      </c>
      <c r="AX138">
        <v>0</v>
      </c>
      <c r="AY138">
        <v>21.75</v>
      </c>
      <c r="AZ138">
        <v>9.19</v>
      </c>
      <c r="BA138">
        <v>10.71</v>
      </c>
      <c r="BB138">
        <v>0.85</v>
      </c>
      <c r="BC138">
        <v>0</v>
      </c>
      <c r="BD138">
        <v>1</v>
      </c>
    </row>
    <row r="139" spans="1:56" x14ac:dyDescent="0.25">
      <c r="A139" t="s">
        <v>55</v>
      </c>
      <c r="B139" t="s">
        <v>56</v>
      </c>
      <c r="C139" t="s">
        <v>207</v>
      </c>
      <c r="D139" t="s">
        <v>208</v>
      </c>
      <c r="E139" t="s">
        <v>209</v>
      </c>
      <c r="G139" t="s">
        <v>57</v>
      </c>
      <c r="H139" t="s">
        <v>58</v>
      </c>
      <c r="I139">
        <v>6</v>
      </c>
      <c r="J139" t="s">
        <v>58</v>
      </c>
      <c r="K139" t="s">
        <v>58</v>
      </c>
      <c r="L139">
        <v>209</v>
      </c>
      <c r="M139">
        <v>8</v>
      </c>
      <c r="N139">
        <v>14</v>
      </c>
      <c r="O139">
        <v>10</v>
      </c>
      <c r="P139">
        <v>8</v>
      </c>
      <c r="Q139">
        <v>0</v>
      </c>
      <c r="R139">
        <v>76285</v>
      </c>
      <c r="S139">
        <v>141</v>
      </c>
      <c r="T139">
        <v>0</v>
      </c>
      <c r="U139">
        <v>0</v>
      </c>
      <c r="V139">
        <v>1997</v>
      </c>
      <c r="W139">
        <v>67259</v>
      </c>
      <c r="X139">
        <v>0</v>
      </c>
      <c r="Y139">
        <v>2456</v>
      </c>
      <c r="Z139">
        <v>0</v>
      </c>
      <c r="AA139">
        <v>2633</v>
      </c>
      <c r="AB139">
        <v>0</v>
      </c>
      <c r="AC139">
        <v>16833</v>
      </c>
      <c r="AD139">
        <v>0</v>
      </c>
      <c r="AE139">
        <v>0</v>
      </c>
      <c r="AF139">
        <v>14</v>
      </c>
      <c r="AG139">
        <v>10</v>
      </c>
      <c r="AH139">
        <v>14</v>
      </c>
      <c r="AI139">
        <v>71106</v>
      </c>
      <c r="AJ139">
        <v>3933</v>
      </c>
      <c r="AK139">
        <v>3976</v>
      </c>
      <c r="AL139">
        <v>3863</v>
      </c>
      <c r="AM139">
        <v>5574</v>
      </c>
      <c r="AN139">
        <v>8678</v>
      </c>
      <c r="AO139">
        <v>122</v>
      </c>
      <c r="AP139">
        <v>11239</v>
      </c>
      <c r="AQ139">
        <v>9239</v>
      </c>
      <c r="AR139" t="s">
        <v>58</v>
      </c>
      <c r="AS139">
        <v>39.14</v>
      </c>
      <c r="AT139" t="s">
        <v>58</v>
      </c>
      <c r="AU139">
        <v>10.48</v>
      </c>
      <c r="AV139">
        <v>1</v>
      </c>
      <c r="AW139">
        <v>1</v>
      </c>
      <c r="AX139" t="s">
        <v>58</v>
      </c>
      <c r="AY139">
        <v>556.58000000000004</v>
      </c>
      <c r="AZ139">
        <v>341.57</v>
      </c>
      <c r="BA139">
        <v>75.39</v>
      </c>
      <c r="BB139">
        <v>17.350000000000001</v>
      </c>
      <c r="BC139">
        <v>2.44</v>
      </c>
      <c r="BD139">
        <v>26.89</v>
      </c>
    </row>
    <row r="140" spans="1:56" x14ac:dyDescent="0.25">
      <c r="A140" t="s">
        <v>55</v>
      </c>
      <c r="B140" t="s">
        <v>56</v>
      </c>
      <c r="C140" t="s">
        <v>207</v>
      </c>
      <c r="D140" t="s">
        <v>208</v>
      </c>
      <c r="E140" t="s">
        <v>209</v>
      </c>
      <c r="F140" s="276" t="s">
        <v>209</v>
      </c>
      <c r="G140" t="s">
        <v>59</v>
      </c>
      <c r="H140" t="s">
        <v>58</v>
      </c>
      <c r="I140">
        <v>3</v>
      </c>
      <c r="J140" t="s">
        <v>58</v>
      </c>
      <c r="K140" t="s">
        <v>58</v>
      </c>
      <c r="L140">
        <v>8</v>
      </c>
      <c r="M140">
        <v>8</v>
      </c>
      <c r="N140" t="s">
        <v>58</v>
      </c>
      <c r="O140" t="s">
        <v>58</v>
      </c>
      <c r="P140">
        <v>2</v>
      </c>
      <c r="Q140">
        <v>0</v>
      </c>
      <c r="R140">
        <v>2920</v>
      </c>
      <c r="S140">
        <v>50</v>
      </c>
      <c r="T140">
        <v>0</v>
      </c>
      <c r="U140">
        <v>0</v>
      </c>
      <c r="V140">
        <v>175</v>
      </c>
      <c r="W140">
        <v>2172</v>
      </c>
      <c r="X140">
        <v>0</v>
      </c>
      <c r="Y140" t="s">
        <v>58</v>
      </c>
      <c r="Z140" t="s">
        <v>58</v>
      </c>
      <c r="AA140">
        <v>362</v>
      </c>
      <c r="AB140">
        <v>0</v>
      </c>
      <c r="AC140">
        <v>2269</v>
      </c>
      <c r="AD140">
        <v>0</v>
      </c>
      <c r="AE140">
        <v>0</v>
      </c>
      <c r="AF140">
        <v>8</v>
      </c>
      <c r="AG140">
        <v>5</v>
      </c>
      <c r="AH140">
        <v>8</v>
      </c>
      <c r="AI140">
        <v>27866</v>
      </c>
      <c r="AJ140">
        <v>810</v>
      </c>
      <c r="AK140">
        <v>767</v>
      </c>
      <c r="AL140">
        <v>1036</v>
      </c>
      <c r="AM140">
        <v>32</v>
      </c>
      <c r="AN140">
        <v>453</v>
      </c>
      <c r="AO140">
        <v>304</v>
      </c>
      <c r="AP140">
        <v>4071</v>
      </c>
      <c r="AQ140">
        <v>3750</v>
      </c>
      <c r="AR140" t="s">
        <v>58</v>
      </c>
      <c r="AS140">
        <v>6.73</v>
      </c>
      <c r="AT140" t="s">
        <v>58</v>
      </c>
      <c r="AU140">
        <v>1.8</v>
      </c>
      <c r="AV140">
        <v>0</v>
      </c>
      <c r="AW140">
        <v>1</v>
      </c>
      <c r="AX140" t="s">
        <v>58</v>
      </c>
      <c r="AY140">
        <v>129.68</v>
      </c>
      <c r="AZ140">
        <v>49.63</v>
      </c>
      <c r="BA140">
        <v>9.18</v>
      </c>
      <c r="BB140">
        <v>18.77</v>
      </c>
      <c r="BC140">
        <v>12.09</v>
      </c>
      <c r="BD140">
        <v>21.52</v>
      </c>
    </row>
    <row r="141" spans="1:56" x14ac:dyDescent="0.25">
      <c r="A141" t="s">
        <v>55</v>
      </c>
      <c r="B141" t="s">
        <v>56</v>
      </c>
      <c r="C141" t="s">
        <v>207</v>
      </c>
      <c r="D141" t="s">
        <v>208</v>
      </c>
      <c r="E141" t="s">
        <v>209</v>
      </c>
      <c r="F141" s="282" t="s">
        <v>209</v>
      </c>
      <c r="G141" t="s">
        <v>60</v>
      </c>
      <c r="H141" t="s">
        <v>58</v>
      </c>
      <c r="I141" t="s">
        <v>58</v>
      </c>
      <c r="J141" t="s">
        <v>58</v>
      </c>
      <c r="K141" t="s">
        <v>58</v>
      </c>
      <c r="L141">
        <v>0</v>
      </c>
      <c r="M141" t="s">
        <v>58</v>
      </c>
      <c r="N141" t="s">
        <v>58</v>
      </c>
      <c r="O141" t="s">
        <v>58</v>
      </c>
      <c r="P141" t="s">
        <v>58</v>
      </c>
      <c r="Q141" t="s">
        <v>58</v>
      </c>
      <c r="R141">
        <v>4745</v>
      </c>
      <c r="S141">
        <v>13</v>
      </c>
      <c r="T141" t="s">
        <v>58</v>
      </c>
      <c r="U141">
        <v>0</v>
      </c>
      <c r="V141" t="s">
        <v>58</v>
      </c>
      <c r="W141" t="s">
        <v>58</v>
      </c>
      <c r="X141" t="s">
        <v>58</v>
      </c>
      <c r="Y141" t="s">
        <v>58</v>
      </c>
      <c r="Z141" t="s">
        <v>58</v>
      </c>
      <c r="AA141" t="s">
        <v>58</v>
      </c>
      <c r="AB141" t="s">
        <v>58</v>
      </c>
      <c r="AC141">
        <v>3396</v>
      </c>
      <c r="AD141" t="s">
        <v>58</v>
      </c>
      <c r="AE141" t="s">
        <v>58</v>
      </c>
      <c r="AF141" t="s">
        <v>58</v>
      </c>
      <c r="AG141" t="s">
        <v>58</v>
      </c>
      <c r="AH141" t="s">
        <v>58</v>
      </c>
      <c r="AI141" t="s">
        <v>58</v>
      </c>
      <c r="AJ141" t="s">
        <v>58</v>
      </c>
      <c r="AK141" t="s">
        <v>58</v>
      </c>
      <c r="AL141">
        <v>23004</v>
      </c>
      <c r="AM141" t="s">
        <v>58</v>
      </c>
      <c r="AN141" t="s">
        <v>58</v>
      </c>
      <c r="AO141" t="s">
        <v>58</v>
      </c>
      <c r="AP141">
        <v>1344</v>
      </c>
      <c r="AQ141">
        <v>1272</v>
      </c>
      <c r="AR141" t="s">
        <v>58</v>
      </c>
      <c r="AS141">
        <v>2.39</v>
      </c>
      <c r="AT141" t="s">
        <v>58</v>
      </c>
      <c r="AU141" t="s">
        <v>58</v>
      </c>
      <c r="AV141" t="s">
        <v>58</v>
      </c>
      <c r="AW141" t="s">
        <v>58</v>
      </c>
      <c r="AX141" t="s">
        <v>58</v>
      </c>
      <c r="AY141">
        <v>18.71</v>
      </c>
      <c r="AZ141">
        <v>9.92</v>
      </c>
      <c r="BA141">
        <v>0</v>
      </c>
      <c r="BB141">
        <v>4.79</v>
      </c>
      <c r="BC141">
        <v>0</v>
      </c>
      <c r="BD141">
        <v>1</v>
      </c>
    </row>
    <row r="142" spans="1:56" hidden="1" x14ac:dyDescent="0.25">
      <c r="A142" t="s">
        <v>55</v>
      </c>
      <c r="B142" t="s">
        <v>56</v>
      </c>
      <c r="C142" t="s">
        <v>207</v>
      </c>
      <c r="D142" t="s">
        <v>208</v>
      </c>
      <c r="E142" t="s">
        <v>209</v>
      </c>
      <c r="G142" t="s">
        <v>61</v>
      </c>
      <c r="H142">
        <v>1</v>
      </c>
      <c r="I142" t="s">
        <v>58</v>
      </c>
      <c r="J142">
        <v>9</v>
      </c>
      <c r="K142">
        <v>1</v>
      </c>
      <c r="L142">
        <v>217</v>
      </c>
      <c r="M142">
        <v>16</v>
      </c>
      <c r="N142">
        <v>14</v>
      </c>
      <c r="O142">
        <v>10</v>
      </c>
      <c r="P142">
        <v>10</v>
      </c>
      <c r="Q142">
        <v>0</v>
      </c>
      <c r="R142">
        <v>83950</v>
      </c>
      <c r="S142">
        <v>204</v>
      </c>
      <c r="T142">
        <v>0</v>
      </c>
      <c r="U142">
        <v>0</v>
      </c>
      <c r="V142">
        <v>2172</v>
      </c>
      <c r="W142">
        <v>69431</v>
      </c>
      <c r="X142">
        <v>0</v>
      </c>
      <c r="Y142">
        <v>2456</v>
      </c>
      <c r="Z142">
        <v>0</v>
      </c>
      <c r="AA142">
        <v>2995</v>
      </c>
      <c r="AB142">
        <v>0</v>
      </c>
      <c r="AC142">
        <v>22498</v>
      </c>
      <c r="AD142">
        <v>0</v>
      </c>
      <c r="AE142">
        <v>0</v>
      </c>
      <c r="AF142">
        <v>22</v>
      </c>
      <c r="AG142">
        <v>15</v>
      </c>
      <c r="AH142">
        <v>22</v>
      </c>
      <c r="AI142">
        <v>98972</v>
      </c>
      <c r="AJ142">
        <v>4743</v>
      </c>
      <c r="AK142">
        <v>4743</v>
      </c>
      <c r="AL142">
        <v>27903</v>
      </c>
      <c r="AM142">
        <v>5606</v>
      </c>
      <c r="AN142">
        <v>9131</v>
      </c>
      <c r="AO142">
        <v>426</v>
      </c>
      <c r="AP142">
        <v>16713</v>
      </c>
      <c r="AQ142">
        <v>14118</v>
      </c>
      <c r="AR142" t="s">
        <v>58</v>
      </c>
      <c r="AS142">
        <v>48.26</v>
      </c>
      <c r="AT142" t="s">
        <v>58</v>
      </c>
      <c r="AU142">
        <v>12.28</v>
      </c>
      <c r="AV142" t="s">
        <v>58</v>
      </c>
      <c r="AW142" t="s">
        <v>58</v>
      </c>
      <c r="AX142" t="s">
        <v>58</v>
      </c>
      <c r="AY142">
        <v>704.97</v>
      </c>
      <c r="AZ142">
        <v>401.12</v>
      </c>
      <c r="BA142">
        <v>84.57</v>
      </c>
      <c r="BB142">
        <v>40.909999999999997</v>
      </c>
      <c r="BC142">
        <v>14.53</v>
      </c>
      <c r="BD142">
        <v>49.41</v>
      </c>
    </row>
    <row r="143" spans="1:56" x14ac:dyDescent="0.25">
      <c r="A143" t="s">
        <v>55</v>
      </c>
      <c r="B143" t="s">
        <v>56</v>
      </c>
      <c r="C143" t="s">
        <v>210</v>
      </c>
      <c r="D143" t="s">
        <v>211</v>
      </c>
      <c r="E143" t="s">
        <v>210</v>
      </c>
      <c r="G143" t="s">
        <v>57</v>
      </c>
      <c r="H143" t="s">
        <v>58</v>
      </c>
      <c r="I143" t="s">
        <v>58</v>
      </c>
      <c r="J143" t="s">
        <v>58</v>
      </c>
      <c r="K143" t="s">
        <v>58</v>
      </c>
      <c r="L143">
        <v>127</v>
      </c>
      <c r="M143" t="s">
        <v>58</v>
      </c>
      <c r="N143" t="s">
        <v>58</v>
      </c>
      <c r="O143" t="s">
        <v>58</v>
      </c>
      <c r="P143" t="s">
        <v>58</v>
      </c>
      <c r="Q143" t="s">
        <v>58</v>
      </c>
      <c r="R143">
        <v>46355</v>
      </c>
      <c r="S143">
        <v>20</v>
      </c>
      <c r="T143" t="s">
        <v>58</v>
      </c>
      <c r="U143" t="s">
        <v>58</v>
      </c>
      <c r="V143">
        <v>1441</v>
      </c>
      <c r="W143">
        <v>43212</v>
      </c>
      <c r="X143" t="s">
        <v>58</v>
      </c>
      <c r="Y143" t="s">
        <v>58</v>
      </c>
      <c r="Z143" t="s">
        <v>58</v>
      </c>
      <c r="AA143" t="s">
        <v>58</v>
      </c>
      <c r="AB143" t="s">
        <v>58</v>
      </c>
      <c r="AC143">
        <v>15073</v>
      </c>
      <c r="AD143" t="s">
        <v>58</v>
      </c>
      <c r="AE143" t="s">
        <v>58</v>
      </c>
      <c r="AF143" t="s">
        <v>58</v>
      </c>
      <c r="AG143" t="s">
        <v>58</v>
      </c>
      <c r="AH143" t="s">
        <v>58</v>
      </c>
      <c r="AI143" t="s">
        <v>58</v>
      </c>
      <c r="AJ143" t="s">
        <v>58</v>
      </c>
      <c r="AK143" t="s">
        <v>58</v>
      </c>
      <c r="AL143" t="s">
        <v>58</v>
      </c>
      <c r="AM143" t="s">
        <v>58</v>
      </c>
      <c r="AN143" t="s">
        <v>58</v>
      </c>
      <c r="AO143" t="s">
        <v>58</v>
      </c>
      <c r="AP143">
        <v>1014</v>
      </c>
      <c r="AQ143" t="s">
        <v>58</v>
      </c>
      <c r="AR143">
        <v>7</v>
      </c>
      <c r="AS143" t="s">
        <v>58</v>
      </c>
      <c r="AT143">
        <v>3</v>
      </c>
      <c r="AU143" t="s">
        <v>58</v>
      </c>
      <c r="AV143" t="s">
        <v>58</v>
      </c>
      <c r="AW143" t="s">
        <v>58</v>
      </c>
      <c r="AX143">
        <v>9</v>
      </c>
      <c r="AY143">
        <v>67.3</v>
      </c>
      <c r="AZ143">
        <v>23.63</v>
      </c>
      <c r="BA143">
        <v>16.399999999999999</v>
      </c>
      <c r="BB143">
        <v>2.4700000000000002</v>
      </c>
      <c r="BC143" t="s">
        <v>58</v>
      </c>
      <c r="BD143">
        <v>3.13</v>
      </c>
    </row>
    <row r="144" spans="1:56" hidden="1" x14ac:dyDescent="0.25">
      <c r="A144" t="s">
        <v>55</v>
      </c>
      <c r="B144" t="s">
        <v>56</v>
      </c>
      <c r="C144" t="s">
        <v>210</v>
      </c>
      <c r="D144" t="s">
        <v>211</v>
      </c>
      <c r="E144" t="s">
        <v>210</v>
      </c>
      <c r="G144" t="s">
        <v>61</v>
      </c>
      <c r="H144">
        <v>0</v>
      </c>
      <c r="I144" t="s">
        <v>58</v>
      </c>
      <c r="J144" t="s">
        <v>58</v>
      </c>
      <c r="K144">
        <v>0</v>
      </c>
      <c r="L144">
        <v>127</v>
      </c>
      <c r="M144" t="s">
        <v>58</v>
      </c>
      <c r="N144" t="s">
        <v>58</v>
      </c>
      <c r="O144" t="s">
        <v>58</v>
      </c>
      <c r="P144" t="s">
        <v>58</v>
      </c>
      <c r="Q144" t="s">
        <v>58</v>
      </c>
      <c r="R144">
        <v>46355</v>
      </c>
      <c r="S144">
        <v>20</v>
      </c>
      <c r="T144" t="s">
        <v>58</v>
      </c>
      <c r="U144" t="s">
        <v>58</v>
      </c>
      <c r="V144">
        <v>1441</v>
      </c>
      <c r="W144">
        <v>43212</v>
      </c>
      <c r="X144" t="s">
        <v>58</v>
      </c>
      <c r="Y144" t="s">
        <v>58</v>
      </c>
      <c r="Z144" t="s">
        <v>58</v>
      </c>
      <c r="AA144" t="s">
        <v>58</v>
      </c>
      <c r="AB144" t="s">
        <v>58</v>
      </c>
      <c r="AC144">
        <v>15073</v>
      </c>
      <c r="AD144" t="s">
        <v>58</v>
      </c>
      <c r="AE144" t="s">
        <v>58</v>
      </c>
      <c r="AF144" t="s">
        <v>58</v>
      </c>
      <c r="AG144" t="s">
        <v>58</v>
      </c>
      <c r="AH144" t="s">
        <v>58</v>
      </c>
      <c r="AI144" t="s">
        <v>58</v>
      </c>
      <c r="AJ144" t="s">
        <v>58</v>
      </c>
      <c r="AK144" t="s">
        <v>58</v>
      </c>
      <c r="AL144" t="s">
        <v>58</v>
      </c>
      <c r="AM144" t="s">
        <v>58</v>
      </c>
      <c r="AN144" t="s">
        <v>58</v>
      </c>
      <c r="AO144" t="s">
        <v>58</v>
      </c>
      <c r="AP144">
        <v>1014</v>
      </c>
      <c r="AQ144" t="s">
        <v>58</v>
      </c>
      <c r="AR144">
        <v>7</v>
      </c>
      <c r="AS144" t="s">
        <v>58</v>
      </c>
      <c r="AT144">
        <v>3</v>
      </c>
      <c r="AU144" t="s">
        <v>58</v>
      </c>
      <c r="AV144" t="s">
        <v>58</v>
      </c>
      <c r="AW144" t="s">
        <v>58</v>
      </c>
      <c r="AX144">
        <v>9</v>
      </c>
      <c r="AY144">
        <v>67.3</v>
      </c>
      <c r="AZ144">
        <v>23.63</v>
      </c>
      <c r="BA144">
        <v>16.399999999999999</v>
      </c>
      <c r="BB144">
        <v>2.4700000000000002</v>
      </c>
      <c r="BC144" t="s">
        <v>58</v>
      </c>
      <c r="BD144">
        <v>3.13</v>
      </c>
    </row>
    <row r="145" spans="1:56" x14ac:dyDescent="0.25">
      <c r="A145" t="s">
        <v>55</v>
      </c>
      <c r="B145" t="s">
        <v>56</v>
      </c>
      <c r="C145" t="s">
        <v>212</v>
      </c>
      <c r="D145" t="s">
        <v>213</v>
      </c>
      <c r="E145" t="s">
        <v>83</v>
      </c>
      <c r="G145" t="s">
        <v>57</v>
      </c>
      <c r="H145" t="s">
        <v>58</v>
      </c>
      <c r="I145" t="s">
        <v>58</v>
      </c>
      <c r="J145" t="s">
        <v>58</v>
      </c>
      <c r="K145" t="s">
        <v>58</v>
      </c>
      <c r="L145">
        <v>84</v>
      </c>
      <c r="M145" t="s">
        <v>58</v>
      </c>
      <c r="N145" t="s">
        <v>58</v>
      </c>
      <c r="O145">
        <v>60</v>
      </c>
      <c r="P145" t="s">
        <v>58</v>
      </c>
      <c r="Q145" t="s">
        <v>58</v>
      </c>
      <c r="R145">
        <v>30660</v>
      </c>
      <c r="S145">
        <v>13</v>
      </c>
      <c r="T145" t="s">
        <v>58</v>
      </c>
      <c r="U145" t="s">
        <v>58</v>
      </c>
      <c r="V145">
        <v>606</v>
      </c>
      <c r="W145">
        <v>30632</v>
      </c>
      <c r="X145" t="s">
        <v>58</v>
      </c>
      <c r="Y145" t="s">
        <v>58</v>
      </c>
      <c r="Z145">
        <v>20470</v>
      </c>
      <c r="AA145" t="s">
        <v>58</v>
      </c>
      <c r="AB145" t="s">
        <v>58</v>
      </c>
      <c r="AC145">
        <v>3419</v>
      </c>
      <c r="AD145" t="s">
        <v>58</v>
      </c>
      <c r="AE145" t="s">
        <v>58</v>
      </c>
      <c r="AF145" t="s">
        <v>58</v>
      </c>
      <c r="AG145" t="s">
        <v>58</v>
      </c>
      <c r="AH145" t="s">
        <v>58</v>
      </c>
      <c r="AI145" t="s">
        <v>58</v>
      </c>
      <c r="AJ145" t="s">
        <v>58</v>
      </c>
      <c r="AK145" t="s">
        <v>58</v>
      </c>
      <c r="AL145" t="s">
        <v>58</v>
      </c>
      <c r="AM145" t="s">
        <v>58</v>
      </c>
      <c r="AN145" t="s">
        <v>58</v>
      </c>
      <c r="AO145" t="s">
        <v>58</v>
      </c>
      <c r="AP145">
        <v>800</v>
      </c>
      <c r="AQ145" t="s">
        <v>58</v>
      </c>
      <c r="AR145">
        <v>2</v>
      </c>
      <c r="AS145">
        <v>3.46</v>
      </c>
      <c r="AT145" t="s">
        <v>58</v>
      </c>
      <c r="AU145">
        <v>2.41</v>
      </c>
      <c r="AV145">
        <v>0</v>
      </c>
      <c r="AW145">
        <v>0</v>
      </c>
      <c r="AX145">
        <v>1</v>
      </c>
      <c r="AY145">
        <v>81.459999999999994</v>
      </c>
      <c r="AZ145">
        <v>33.01</v>
      </c>
      <c r="BA145">
        <v>15.83</v>
      </c>
      <c r="BB145">
        <v>4.75</v>
      </c>
      <c r="BC145">
        <v>2.46</v>
      </c>
      <c r="BD145">
        <v>9.4</v>
      </c>
    </row>
    <row r="146" spans="1:56" x14ac:dyDescent="0.25">
      <c r="A146" t="s">
        <v>55</v>
      </c>
      <c r="B146" t="s">
        <v>56</v>
      </c>
      <c r="C146" t="s">
        <v>212</v>
      </c>
      <c r="D146" t="s">
        <v>213</v>
      </c>
      <c r="E146" t="s">
        <v>83</v>
      </c>
      <c r="F146" s="275">
        <v>660780735</v>
      </c>
      <c r="G146" t="s">
        <v>59</v>
      </c>
      <c r="H146" t="s">
        <v>58</v>
      </c>
      <c r="I146" t="s">
        <v>58</v>
      </c>
      <c r="J146" t="s">
        <v>58</v>
      </c>
      <c r="K146" t="s">
        <v>58</v>
      </c>
      <c r="L146" t="s">
        <v>58</v>
      </c>
      <c r="M146" t="s">
        <v>58</v>
      </c>
      <c r="N146" t="s">
        <v>58</v>
      </c>
      <c r="O146" t="s">
        <v>58</v>
      </c>
      <c r="P146" t="s">
        <v>58</v>
      </c>
      <c r="Q146" t="s">
        <v>58</v>
      </c>
      <c r="R146" t="s">
        <v>58</v>
      </c>
      <c r="S146">
        <v>15</v>
      </c>
      <c r="T146" t="s">
        <v>58</v>
      </c>
      <c r="U146" t="s">
        <v>58</v>
      </c>
      <c r="V146" t="s">
        <v>58</v>
      </c>
      <c r="W146" t="s">
        <v>58</v>
      </c>
      <c r="X146" t="s">
        <v>58</v>
      </c>
      <c r="Y146" t="s">
        <v>58</v>
      </c>
      <c r="Z146" t="s">
        <v>58</v>
      </c>
      <c r="AA146" t="s">
        <v>58</v>
      </c>
      <c r="AB146" t="s">
        <v>58</v>
      </c>
      <c r="AC146">
        <v>1909</v>
      </c>
      <c r="AD146" t="s">
        <v>58</v>
      </c>
      <c r="AE146" t="s">
        <v>58</v>
      </c>
      <c r="AF146" t="s">
        <v>58</v>
      </c>
      <c r="AG146" t="s">
        <v>58</v>
      </c>
      <c r="AH146" t="s">
        <v>58</v>
      </c>
      <c r="AI146" t="s">
        <v>58</v>
      </c>
      <c r="AJ146" t="s">
        <v>58</v>
      </c>
      <c r="AK146" t="s">
        <v>58</v>
      </c>
      <c r="AL146" t="s">
        <v>58</v>
      </c>
      <c r="AM146" t="s">
        <v>58</v>
      </c>
      <c r="AN146" t="s">
        <v>58</v>
      </c>
      <c r="AO146" t="s">
        <v>58</v>
      </c>
      <c r="AP146">
        <v>58</v>
      </c>
      <c r="AQ146" t="s">
        <v>58</v>
      </c>
      <c r="AR146" t="s">
        <v>58</v>
      </c>
      <c r="AS146" t="s">
        <v>58</v>
      </c>
      <c r="AT146">
        <v>1</v>
      </c>
      <c r="AU146" t="s">
        <v>58</v>
      </c>
      <c r="AV146">
        <v>0</v>
      </c>
      <c r="AW146">
        <v>0</v>
      </c>
      <c r="AX146" t="s">
        <v>58</v>
      </c>
      <c r="AY146">
        <v>6.3</v>
      </c>
      <c r="AZ146">
        <v>2</v>
      </c>
      <c r="BA146" t="s">
        <v>58</v>
      </c>
      <c r="BB146" t="s">
        <v>58</v>
      </c>
      <c r="BC146">
        <v>2</v>
      </c>
      <c r="BD146">
        <v>2.2999999999999998</v>
      </c>
    </row>
    <row r="147" spans="1:56" hidden="1" x14ac:dyDescent="0.25">
      <c r="A147" s="94" t="s">
        <v>55</v>
      </c>
      <c r="B147" s="94" t="s">
        <v>56</v>
      </c>
      <c r="C147" s="97">
        <v>660780214</v>
      </c>
      <c r="D147" s="91" t="s">
        <v>377</v>
      </c>
      <c r="E147" s="97">
        <v>660780214</v>
      </c>
      <c r="F147" s="97">
        <v>660780214</v>
      </c>
      <c r="G147" t="s">
        <v>61</v>
      </c>
      <c r="L147">
        <v>60</v>
      </c>
    </row>
    <row r="148" spans="1:56" hidden="1" x14ac:dyDescent="0.25">
      <c r="A148" t="s">
        <v>55</v>
      </c>
      <c r="B148" t="s">
        <v>56</v>
      </c>
      <c r="C148" t="s">
        <v>212</v>
      </c>
      <c r="D148" t="s">
        <v>213</v>
      </c>
      <c r="E148" t="s">
        <v>83</v>
      </c>
      <c r="G148" t="s">
        <v>61</v>
      </c>
      <c r="H148">
        <v>0</v>
      </c>
      <c r="I148" t="s">
        <v>58</v>
      </c>
      <c r="J148" t="s">
        <v>58</v>
      </c>
      <c r="K148">
        <v>0</v>
      </c>
      <c r="L148">
        <v>84</v>
      </c>
      <c r="M148" t="s">
        <v>58</v>
      </c>
      <c r="N148" t="s">
        <v>58</v>
      </c>
      <c r="O148">
        <v>60</v>
      </c>
      <c r="P148" t="s">
        <v>58</v>
      </c>
      <c r="Q148" t="s">
        <v>58</v>
      </c>
      <c r="R148">
        <v>30660</v>
      </c>
      <c r="S148">
        <v>28</v>
      </c>
      <c r="T148" t="s">
        <v>58</v>
      </c>
      <c r="U148" t="s">
        <v>58</v>
      </c>
      <c r="V148">
        <v>606</v>
      </c>
      <c r="W148">
        <v>30632</v>
      </c>
      <c r="X148" t="s">
        <v>58</v>
      </c>
      <c r="Y148" t="s">
        <v>58</v>
      </c>
      <c r="Z148">
        <v>20470</v>
      </c>
      <c r="AA148" t="s">
        <v>58</v>
      </c>
      <c r="AB148" t="s">
        <v>58</v>
      </c>
      <c r="AC148">
        <v>5328</v>
      </c>
      <c r="AD148" t="s">
        <v>58</v>
      </c>
      <c r="AE148" t="s">
        <v>58</v>
      </c>
      <c r="AF148" t="s">
        <v>58</v>
      </c>
      <c r="AG148" t="s">
        <v>58</v>
      </c>
      <c r="AH148" t="s">
        <v>58</v>
      </c>
      <c r="AI148" t="s">
        <v>58</v>
      </c>
      <c r="AJ148" t="s">
        <v>58</v>
      </c>
      <c r="AK148" t="s">
        <v>58</v>
      </c>
      <c r="AL148" t="s">
        <v>58</v>
      </c>
      <c r="AM148" t="s">
        <v>58</v>
      </c>
      <c r="AN148" t="s">
        <v>58</v>
      </c>
      <c r="AO148" t="s">
        <v>58</v>
      </c>
      <c r="AP148">
        <v>858</v>
      </c>
      <c r="AQ148" t="s">
        <v>58</v>
      </c>
      <c r="AR148">
        <v>2</v>
      </c>
      <c r="AS148">
        <v>3.46</v>
      </c>
      <c r="AT148">
        <v>1</v>
      </c>
      <c r="AU148">
        <v>2.41</v>
      </c>
      <c r="AV148" t="s">
        <v>58</v>
      </c>
      <c r="AW148" t="s">
        <v>58</v>
      </c>
      <c r="AX148">
        <v>1</v>
      </c>
      <c r="AY148">
        <v>87.76</v>
      </c>
      <c r="AZ148">
        <v>35.01</v>
      </c>
      <c r="BA148">
        <v>15.83</v>
      </c>
      <c r="BB148">
        <v>4.75</v>
      </c>
      <c r="BC148">
        <v>4.46</v>
      </c>
      <c r="BD148">
        <v>11.7</v>
      </c>
    </row>
    <row r="149" spans="1:56" x14ac:dyDescent="0.25">
      <c r="A149" t="s">
        <v>55</v>
      </c>
      <c r="B149" t="s">
        <v>56</v>
      </c>
      <c r="C149" t="s">
        <v>214</v>
      </c>
      <c r="D149" t="s">
        <v>215</v>
      </c>
      <c r="E149" t="s">
        <v>216</v>
      </c>
      <c r="G149" t="s">
        <v>57</v>
      </c>
      <c r="H149" t="s">
        <v>58</v>
      </c>
      <c r="I149">
        <v>2</v>
      </c>
      <c r="J149" t="s">
        <v>58</v>
      </c>
      <c r="K149" t="s">
        <v>58</v>
      </c>
      <c r="L149">
        <v>110</v>
      </c>
      <c r="M149" t="s">
        <v>58</v>
      </c>
      <c r="N149" t="s">
        <v>58</v>
      </c>
      <c r="O149" t="s">
        <v>58</v>
      </c>
      <c r="P149">
        <v>0</v>
      </c>
      <c r="Q149" t="s">
        <v>58</v>
      </c>
      <c r="R149">
        <v>40150</v>
      </c>
      <c r="S149">
        <v>81</v>
      </c>
      <c r="T149">
        <v>9</v>
      </c>
      <c r="U149">
        <v>4</v>
      </c>
      <c r="V149">
        <v>1050</v>
      </c>
      <c r="W149">
        <v>31319</v>
      </c>
      <c r="X149">
        <v>0</v>
      </c>
      <c r="Y149">
        <v>0</v>
      </c>
      <c r="Z149">
        <v>0</v>
      </c>
      <c r="AA149">
        <v>17</v>
      </c>
      <c r="AB149">
        <v>0</v>
      </c>
      <c r="AC149">
        <v>11472</v>
      </c>
      <c r="AD149">
        <v>77</v>
      </c>
      <c r="AE149">
        <v>2546</v>
      </c>
      <c r="AF149">
        <v>3</v>
      </c>
      <c r="AG149">
        <v>3</v>
      </c>
      <c r="AH149">
        <v>5</v>
      </c>
      <c r="AI149">
        <v>15058</v>
      </c>
      <c r="AJ149">
        <v>380</v>
      </c>
      <c r="AK149">
        <v>9</v>
      </c>
      <c r="AL149">
        <v>1038</v>
      </c>
      <c r="AM149">
        <v>79</v>
      </c>
      <c r="AN149">
        <v>2114</v>
      </c>
      <c r="AO149">
        <v>0</v>
      </c>
      <c r="AP149">
        <v>3290</v>
      </c>
      <c r="AQ149">
        <v>2470</v>
      </c>
      <c r="AR149" t="s">
        <v>58</v>
      </c>
      <c r="AS149">
        <v>10.8</v>
      </c>
      <c r="AT149" t="s">
        <v>58</v>
      </c>
      <c r="AU149" t="s">
        <v>58</v>
      </c>
      <c r="AV149" t="s">
        <v>58</v>
      </c>
      <c r="AW149" t="s">
        <v>58</v>
      </c>
      <c r="AX149" t="s">
        <v>58</v>
      </c>
      <c r="AY149">
        <v>227.75</v>
      </c>
      <c r="AZ149">
        <v>138.41999999999999</v>
      </c>
      <c r="BA149">
        <v>21.67</v>
      </c>
      <c r="BB149">
        <v>11.83</v>
      </c>
      <c r="BC149">
        <v>1.67</v>
      </c>
      <c r="BD149">
        <v>21.83</v>
      </c>
    </row>
    <row r="150" spans="1:56" x14ac:dyDescent="0.25">
      <c r="A150" t="s">
        <v>55</v>
      </c>
      <c r="B150" t="s">
        <v>56</v>
      </c>
      <c r="C150" t="s">
        <v>214</v>
      </c>
      <c r="D150" t="s">
        <v>215</v>
      </c>
      <c r="E150" t="s">
        <v>216</v>
      </c>
      <c r="F150" s="275">
        <v>810000455</v>
      </c>
      <c r="G150" t="s">
        <v>59</v>
      </c>
      <c r="H150" t="s">
        <v>58</v>
      </c>
      <c r="I150">
        <v>1</v>
      </c>
      <c r="J150" t="s">
        <v>58</v>
      </c>
      <c r="K150" t="s">
        <v>58</v>
      </c>
      <c r="L150">
        <v>13</v>
      </c>
      <c r="M150" t="s">
        <v>58</v>
      </c>
      <c r="N150" t="s">
        <v>58</v>
      </c>
      <c r="O150" t="s">
        <v>58</v>
      </c>
      <c r="P150" t="s">
        <v>58</v>
      </c>
      <c r="Q150" t="s">
        <v>58</v>
      </c>
      <c r="R150">
        <v>4745</v>
      </c>
      <c r="S150">
        <v>13</v>
      </c>
      <c r="T150" t="s">
        <v>58</v>
      </c>
      <c r="U150">
        <v>6</v>
      </c>
      <c r="V150">
        <v>637</v>
      </c>
      <c r="W150">
        <v>2107</v>
      </c>
      <c r="X150">
        <v>0</v>
      </c>
      <c r="Y150" t="s">
        <v>58</v>
      </c>
      <c r="Z150" t="s">
        <v>58</v>
      </c>
      <c r="AA150">
        <v>0</v>
      </c>
      <c r="AB150">
        <v>0</v>
      </c>
      <c r="AC150">
        <v>2794</v>
      </c>
      <c r="AD150">
        <v>0</v>
      </c>
      <c r="AE150">
        <v>551</v>
      </c>
      <c r="AF150">
        <v>5</v>
      </c>
      <c r="AG150">
        <v>5</v>
      </c>
      <c r="AH150">
        <v>4</v>
      </c>
      <c r="AI150">
        <v>15225</v>
      </c>
      <c r="AJ150">
        <v>130</v>
      </c>
      <c r="AK150">
        <v>0</v>
      </c>
      <c r="AL150">
        <v>220</v>
      </c>
      <c r="AM150">
        <v>26</v>
      </c>
      <c r="AN150" t="s">
        <v>58</v>
      </c>
      <c r="AO150">
        <v>307</v>
      </c>
      <c r="AP150">
        <v>1546</v>
      </c>
      <c r="AQ150">
        <v>1410</v>
      </c>
      <c r="AR150" t="s">
        <v>58</v>
      </c>
      <c r="AS150">
        <v>2.91</v>
      </c>
      <c r="AT150" t="s">
        <v>58</v>
      </c>
      <c r="AU150" t="s">
        <v>58</v>
      </c>
      <c r="AV150" t="s">
        <v>58</v>
      </c>
      <c r="AW150" t="s">
        <v>58</v>
      </c>
      <c r="AX150" t="s">
        <v>58</v>
      </c>
      <c r="AY150">
        <v>97.17</v>
      </c>
      <c r="AZ150">
        <v>35.42</v>
      </c>
      <c r="BA150">
        <v>7.83</v>
      </c>
      <c r="BB150">
        <v>19.5</v>
      </c>
      <c r="BC150">
        <v>7.83</v>
      </c>
      <c r="BD150">
        <v>14.58</v>
      </c>
    </row>
    <row r="151" spans="1:56" x14ac:dyDescent="0.25">
      <c r="A151" t="s">
        <v>55</v>
      </c>
      <c r="B151" t="s">
        <v>56</v>
      </c>
      <c r="C151" t="s">
        <v>214</v>
      </c>
      <c r="D151" t="s">
        <v>215</v>
      </c>
      <c r="E151" t="s">
        <v>216</v>
      </c>
      <c r="F151" s="275">
        <v>810000455</v>
      </c>
      <c r="G151" t="s">
        <v>60</v>
      </c>
      <c r="H151" t="s">
        <v>58</v>
      </c>
      <c r="I151" t="s">
        <v>58</v>
      </c>
      <c r="J151" t="s">
        <v>58</v>
      </c>
      <c r="K151" t="s">
        <v>58</v>
      </c>
      <c r="L151" t="s">
        <v>58</v>
      </c>
      <c r="M151" t="s">
        <v>58</v>
      </c>
      <c r="N151" t="s">
        <v>58</v>
      </c>
      <c r="O151" t="s">
        <v>58</v>
      </c>
      <c r="P151" t="s">
        <v>58</v>
      </c>
      <c r="Q151" t="s">
        <v>58</v>
      </c>
      <c r="R151" t="s">
        <v>58</v>
      </c>
      <c r="S151">
        <v>0</v>
      </c>
      <c r="T151" t="s">
        <v>58</v>
      </c>
      <c r="U151" t="s">
        <v>58</v>
      </c>
      <c r="V151">
        <v>0</v>
      </c>
      <c r="W151">
        <v>0</v>
      </c>
      <c r="X151" t="s">
        <v>58</v>
      </c>
      <c r="Y151" t="s">
        <v>58</v>
      </c>
      <c r="Z151" t="s">
        <v>58</v>
      </c>
      <c r="AA151" t="s">
        <v>58</v>
      </c>
      <c r="AB151" t="s">
        <v>58</v>
      </c>
      <c r="AC151">
        <v>0</v>
      </c>
      <c r="AD151" t="s">
        <v>58</v>
      </c>
      <c r="AE151">
        <v>0</v>
      </c>
      <c r="AF151" t="s">
        <v>58</v>
      </c>
      <c r="AG151" t="s">
        <v>58</v>
      </c>
      <c r="AH151" t="s">
        <v>58</v>
      </c>
      <c r="AI151" t="s">
        <v>58</v>
      </c>
      <c r="AJ151" t="s">
        <v>58</v>
      </c>
      <c r="AK151" t="s">
        <v>58</v>
      </c>
      <c r="AL151">
        <v>7822</v>
      </c>
      <c r="AM151" t="s">
        <v>58</v>
      </c>
      <c r="AN151" t="s">
        <v>58</v>
      </c>
      <c r="AO151" t="s">
        <v>58</v>
      </c>
      <c r="AP151">
        <v>412</v>
      </c>
      <c r="AQ151">
        <v>412</v>
      </c>
      <c r="AR151" t="s">
        <v>58</v>
      </c>
      <c r="AS151" t="s">
        <v>58</v>
      </c>
      <c r="AT151" t="s">
        <v>58</v>
      </c>
      <c r="AU151">
        <v>1.18</v>
      </c>
      <c r="AV151" t="s">
        <v>58</v>
      </c>
      <c r="AW151" t="s">
        <v>58</v>
      </c>
      <c r="AX151" t="s">
        <v>58</v>
      </c>
      <c r="AY151">
        <v>9.25</v>
      </c>
      <c r="AZ151">
        <v>8.25</v>
      </c>
      <c r="BA151" t="s">
        <v>58</v>
      </c>
      <c r="BB151">
        <v>1</v>
      </c>
      <c r="BC151" t="s">
        <v>58</v>
      </c>
      <c r="BD151" t="s">
        <v>58</v>
      </c>
    </row>
    <row r="152" spans="1:56" hidden="1" x14ac:dyDescent="0.25">
      <c r="A152" t="s">
        <v>55</v>
      </c>
      <c r="B152" t="s">
        <v>56</v>
      </c>
      <c r="C152" t="s">
        <v>214</v>
      </c>
      <c r="D152" t="s">
        <v>215</v>
      </c>
      <c r="E152" t="s">
        <v>216</v>
      </c>
      <c r="G152" t="s">
        <v>61</v>
      </c>
      <c r="H152">
        <v>1</v>
      </c>
      <c r="I152" t="s">
        <v>58</v>
      </c>
      <c r="J152" t="s">
        <v>58</v>
      </c>
      <c r="K152">
        <v>1</v>
      </c>
      <c r="L152">
        <v>123</v>
      </c>
      <c r="M152" t="s">
        <v>58</v>
      </c>
      <c r="N152" t="s">
        <v>58</v>
      </c>
      <c r="O152" t="s">
        <v>58</v>
      </c>
      <c r="P152">
        <v>0</v>
      </c>
      <c r="Q152" t="s">
        <v>58</v>
      </c>
      <c r="R152">
        <v>44895</v>
      </c>
      <c r="S152">
        <v>94</v>
      </c>
      <c r="T152">
        <v>9</v>
      </c>
      <c r="U152">
        <v>10</v>
      </c>
      <c r="V152">
        <v>1687</v>
      </c>
      <c r="W152">
        <v>33426</v>
      </c>
      <c r="X152">
        <v>0</v>
      </c>
      <c r="Y152">
        <v>0</v>
      </c>
      <c r="Z152">
        <v>0</v>
      </c>
      <c r="AA152">
        <v>17</v>
      </c>
      <c r="AB152">
        <v>0</v>
      </c>
      <c r="AC152">
        <v>14266</v>
      </c>
      <c r="AD152">
        <v>77</v>
      </c>
      <c r="AE152">
        <v>3097</v>
      </c>
      <c r="AF152">
        <v>8</v>
      </c>
      <c r="AG152">
        <v>8</v>
      </c>
      <c r="AH152">
        <v>9</v>
      </c>
      <c r="AI152">
        <v>30283</v>
      </c>
      <c r="AJ152">
        <v>510</v>
      </c>
      <c r="AK152">
        <v>9</v>
      </c>
      <c r="AL152">
        <v>9080</v>
      </c>
      <c r="AM152">
        <v>105</v>
      </c>
      <c r="AN152">
        <v>2114</v>
      </c>
      <c r="AO152">
        <v>307</v>
      </c>
      <c r="AP152">
        <v>5139</v>
      </c>
      <c r="AQ152">
        <v>4217</v>
      </c>
      <c r="AR152" t="s">
        <v>58</v>
      </c>
      <c r="AS152">
        <v>13.71</v>
      </c>
      <c r="AT152" t="s">
        <v>58</v>
      </c>
      <c r="AU152">
        <v>1.18</v>
      </c>
      <c r="AV152" t="s">
        <v>58</v>
      </c>
      <c r="AW152" t="s">
        <v>58</v>
      </c>
      <c r="AX152" t="s">
        <v>58</v>
      </c>
      <c r="AY152">
        <v>334.17</v>
      </c>
      <c r="AZ152">
        <v>182.09</v>
      </c>
      <c r="BA152">
        <v>29.5</v>
      </c>
      <c r="BB152">
        <v>32.33</v>
      </c>
      <c r="BC152">
        <v>9.5</v>
      </c>
      <c r="BD152">
        <v>36.409999999999997</v>
      </c>
    </row>
    <row r="153" spans="1:56" x14ac:dyDescent="0.25">
      <c r="A153" t="s">
        <v>55</v>
      </c>
      <c r="B153" t="s">
        <v>56</v>
      </c>
      <c r="C153" t="s">
        <v>217</v>
      </c>
      <c r="D153" t="s">
        <v>218</v>
      </c>
      <c r="E153" t="s">
        <v>217</v>
      </c>
      <c r="G153" t="s">
        <v>57</v>
      </c>
      <c r="H153" t="s">
        <v>58</v>
      </c>
      <c r="I153">
        <v>3</v>
      </c>
      <c r="J153" t="s">
        <v>58</v>
      </c>
      <c r="K153" t="s">
        <v>58</v>
      </c>
      <c r="L153">
        <v>194</v>
      </c>
      <c r="M153">
        <v>0</v>
      </c>
      <c r="N153">
        <v>0</v>
      </c>
      <c r="O153">
        <v>0</v>
      </c>
      <c r="P153">
        <v>15</v>
      </c>
      <c r="Q153">
        <v>0</v>
      </c>
      <c r="R153">
        <v>76285</v>
      </c>
      <c r="S153">
        <v>102</v>
      </c>
      <c r="T153">
        <v>10</v>
      </c>
      <c r="U153">
        <v>0</v>
      </c>
      <c r="V153">
        <v>1352</v>
      </c>
      <c r="W153">
        <v>62585</v>
      </c>
      <c r="X153">
        <v>0</v>
      </c>
      <c r="Y153">
        <v>0</v>
      </c>
      <c r="Z153">
        <v>0</v>
      </c>
      <c r="AA153">
        <v>4098</v>
      </c>
      <c r="AB153">
        <v>0</v>
      </c>
      <c r="AC153">
        <v>15715</v>
      </c>
      <c r="AD153">
        <v>127</v>
      </c>
      <c r="AE153">
        <v>0</v>
      </c>
      <c r="AF153">
        <v>11</v>
      </c>
      <c r="AG153">
        <v>11</v>
      </c>
      <c r="AH153">
        <v>8</v>
      </c>
      <c r="AI153">
        <v>60023</v>
      </c>
      <c r="AJ153">
        <v>20962</v>
      </c>
      <c r="AK153">
        <v>17783</v>
      </c>
      <c r="AL153">
        <v>4843</v>
      </c>
      <c r="AM153">
        <v>1034</v>
      </c>
      <c r="AN153">
        <v>3492</v>
      </c>
      <c r="AO153">
        <v>0</v>
      </c>
      <c r="AP153">
        <v>9058</v>
      </c>
      <c r="AQ153">
        <v>7395</v>
      </c>
      <c r="AR153" t="s">
        <v>58</v>
      </c>
      <c r="AS153">
        <v>29.64</v>
      </c>
      <c r="AT153" t="s">
        <v>58</v>
      </c>
      <c r="AU153" t="s">
        <v>58</v>
      </c>
      <c r="AV153" t="s">
        <v>58</v>
      </c>
      <c r="AW153" t="s">
        <v>58</v>
      </c>
      <c r="AX153" t="s">
        <v>58</v>
      </c>
      <c r="AY153">
        <v>438.62</v>
      </c>
      <c r="AZ153">
        <v>284.73</v>
      </c>
      <c r="BA153">
        <v>78.430000000000007</v>
      </c>
      <c r="BB153">
        <v>16.29</v>
      </c>
      <c r="BC153">
        <v>7.12</v>
      </c>
      <c r="BD153">
        <v>21.8</v>
      </c>
    </row>
    <row r="154" spans="1:56" x14ac:dyDescent="0.25">
      <c r="A154" t="s">
        <v>55</v>
      </c>
      <c r="B154" t="s">
        <v>56</v>
      </c>
      <c r="C154" t="s">
        <v>217</v>
      </c>
      <c r="D154" s="74" t="s">
        <v>218</v>
      </c>
      <c r="E154" t="s">
        <v>217</v>
      </c>
      <c r="F154" s="273">
        <v>810100008</v>
      </c>
      <c r="G154" t="s">
        <v>59</v>
      </c>
      <c r="H154" t="s">
        <v>58</v>
      </c>
      <c r="I154">
        <v>1</v>
      </c>
      <c r="J154" t="s">
        <v>58</v>
      </c>
      <c r="K154" t="s">
        <v>58</v>
      </c>
      <c r="L154">
        <v>5</v>
      </c>
      <c r="M154">
        <v>0</v>
      </c>
      <c r="N154" t="s">
        <v>58</v>
      </c>
      <c r="O154" t="s">
        <v>58</v>
      </c>
      <c r="P154">
        <v>0</v>
      </c>
      <c r="Q154">
        <v>0</v>
      </c>
      <c r="R154">
        <v>1825</v>
      </c>
      <c r="S154">
        <v>49</v>
      </c>
      <c r="T154">
        <v>0</v>
      </c>
      <c r="U154">
        <v>0</v>
      </c>
      <c r="V154">
        <v>64</v>
      </c>
      <c r="W154">
        <v>1259</v>
      </c>
      <c r="X154">
        <v>0</v>
      </c>
      <c r="Y154" t="s">
        <v>58</v>
      </c>
      <c r="Z154" t="s">
        <v>58</v>
      </c>
      <c r="AA154">
        <v>0</v>
      </c>
      <c r="AB154">
        <v>0</v>
      </c>
      <c r="AC154">
        <v>3252</v>
      </c>
      <c r="AD154">
        <v>0</v>
      </c>
      <c r="AE154">
        <v>0</v>
      </c>
      <c r="AF154">
        <v>5</v>
      </c>
      <c r="AG154">
        <v>2</v>
      </c>
      <c r="AH154">
        <v>1</v>
      </c>
      <c r="AI154">
        <v>22743</v>
      </c>
      <c r="AJ154">
        <v>6577</v>
      </c>
      <c r="AK154">
        <v>6</v>
      </c>
      <c r="AL154">
        <v>274</v>
      </c>
      <c r="AM154">
        <v>29</v>
      </c>
      <c r="AN154">
        <v>345</v>
      </c>
      <c r="AO154">
        <v>17</v>
      </c>
      <c r="AP154">
        <v>1995</v>
      </c>
      <c r="AQ154">
        <v>1850</v>
      </c>
      <c r="AR154" t="s">
        <v>58</v>
      </c>
      <c r="AS154">
        <v>7.24</v>
      </c>
      <c r="AT154" t="s">
        <v>58</v>
      </c>
      <c r="AU154" t="s">
        <v>58</v>
      </c>
      <c r="AV154" t="s">
        <v>58</v>
      </c>
      <c r="AW154" t="s">
        <v>58</v>
      </c>
      <c r="AX154" t="s">
        <v>58</v>
      </c>
      <c r="AY154">
        <v>86.63</v>
      </c>
      <c r="AZ154">
        <v>32.18</v>
      </c>
      <c r="BA154">
        <v>3</v>
      </c>
      <c r="BB154">
        <v>23.24</v>
      </c>
      <c r="BC154">
        <v>7.27</v>
      </c>
      <c r="BD154">
        <v>20.85</v>
      </c>
    </row>
    <row r="155" spans="1:56" x14ac:dyDescent="0.25">
      <c r="A155" t="s">
        <v>55</v>
      </c>
      <c r="B155" t="s">
        <v>56</v>
      </c>
      <c r="C155" t="s">
        <v>217</v>
      </c>
      <c r="D155" t="s">
        <v>218</v>
      </c>
      <c r="E155" t="s">
        <v>217</v>
      </c>
      <c r="F155" s="273">
        <v>810100008</v>
      </c>
      <c r="G155" t="s">
        <v>60</v>
      </c>
      <c r="H155" t="s">
        <v>58</v>
      </c>
      <c r="I155" t="s">
        <v>58</v>
      </c>
      <c r="J155" t="s">
        <v>58</v>
      </c>
      <c r="K155" t="s">
        <v>58</v>
      </c>
      <c r="L155">
        <v>0</v>
      </c>
      <c r="M155" t="s">
        <v>58</v>
      </c>
      <c r="N155" t="s">
        <v>58</v>
      </c>
      <c r="O155" t="s">
        <v>58</v>
      </c>
      <c r="P155" t="s">
        <v>58</v>
      </c>
      <c r="Q155" t="s">
        <v>58</v>
      </c>
      <c r="R155">
        <v>0</v>
      </c>
      <c r="S155">
        <v>0</v>
      </c>
      <c r="T155" t="s">
        <v>58</v>
      </c>
      <c r="U155">
        <v>0</v>
      </c>
      <c r="V155">
        <v>0</v>
      </c>
      <c r="W155">
        <v>0</v>
      </c>
      <c r="X155" t="s">
        <v>58</v>
      </c>
      <c r="Y155" t="s">
        <v>58</v>
      </c>
      <c r="Z155" t="s">
        <v>58</v>
      </c>
      <c r="AA155" t="s">
        <v>58</v>
      </c>
      <c r="AB155" t="s">
        <v>58</v>
      </c>
      <c r="AC155">
        <v>0</v>
      </c>
      <c r="AD155" t="s">
        <v>58</v>
      </c>
      <c r="AE155">
        <v>0</v>
      </c>
      <c r="AF155" t="s">
        <v>58</v>
      </c>
      <c r="AG155" t="s">
        <v>58</v>
      </c>
      <c r="AH155" t="s">
        <v>58</v>
      </c>
      <c r="AI155" t="s">
        <v>58</v>
      </c>
      <c r="AJ155" t="s">
        <v>58</v>
      </c>
      <c r="AK155" t="s">
        <v>58</v>
      </c>
      <c r="AL155">
        <v>1068</v>
      </c>
      <c r="AM155" t="s">
        <v>58</v>
      </c>
      <c r="AN155" t="s">
        <v>58</v>
      </c>
      <c r="AO155" t="s">
        <v>58</v>
      </c>
      <c r="AP155">
        <v>325</v>
      </c>
      <c r="AQ155">
        <v>325</v>
      </c>
      <c r="AR155" t="s">
        <v>58</v>
      </c>
      <c r="AS155" t="s">
        <v>58</v>
      </c>
      <c r="AT155" t="s">
        <v>58</v>
      </c>
      <c r="AU155" t="s">
        <v>58</v>
      </c>
      <c r="AV155" t="s">
        <v>58</v>
      </c>
      <c r="AW155" t="s">
        <v>58</v>
      </c>
      <c r="AX155" t="s">
        <v>58</v>
      </c>
      <c r="AY155" t="s">
        <v>58</v>
      </c>
      <c r="AZ155" t="s">
        <v>58</v>
      </c>
      <c r="BA155" t="s">
        <v>58</v>
      </c>
      <c r="BB155" t="s">
        <v>58</v>
      </c>
      <c r="BC155" t="s">
        <v>58</v>
      </c>
      <c r="BD155" t="s">
        <v>58</v>
      </c>
    </row>
    <row r="156" spans="1:56" hidden="1" x14ac:dyDescent="0.25">
      <c r="A156" t="s">
        <v>55</v>
      </c>
      <c r="B156" t="s">
        <v>56</v>
      </c>
      <c r="C156" t="s">
        <v>217</v>
      </c>
      <c r="D156" t="s">
        <v>218</v>
      </c>
      <c r="E156" t="s">
        <v>217</v>
      </c>
      <c r="G156" t="s">
        <v>61</v>
      </c>
      <c r="H156">
        <v>1</v>
      </c>
      <c r="I156" t="s">
        <v>58</v>
      </c>
      <c r="J156">
        <v>6</v>
      </c>
      <c r="K156">
        <v>1</v>
      </c>
      <c r="L156">
        <v>199</v>
      </c>
      <c r="M156">
        <v>0</v>
      </c>
      <c r="N156">
        <v>0</v>
      </c>
      <c r="O156">
        <v>0</v>
      </c>
      <c r="P156">
        <v>15</v>
      </c>
      <c r="Q156">
        <v>0</v>
      </c>
      <c r="R156">
        <v>78110</v>
      </c>
      <c r="S156">
        <v>151</v>
      </c>
      <c r="T156">
        <v>10</v>
      </c>
      <c r="U156">
        <v>0</v>
      </c>
      <c r="V156">
        <v>1416</v>
      </c>
      <c r="W156">
        <v>63844</v>
      </c>
      <c r="X156">
        <v>0</v>
      </c>
      <c r="Y156">
        <v>0</v>
      </c>
      <c r="Z156">
        <v>0</v>
      </c>
      <c r="AA156">
        <v>4098</v>
      </c>
      <c r="AB156">
        <v>0</v>
      </c>
      <c r="AC156">
        <v>18967</v>
      </c>
      <c r="AD156">
        <v>127</v>
      </c>
      <c r="AE156">
        <v>0</v>
      </c>
      <c r="AF156">
        <v>16</v>
      </c>
      <c r="AG156">
        <v>13</v>
      </c>
      <c r="AH156">
        <v>9</v>
      </c>
      <c r="AI156">
        <v>82766</v>
      </c>
      <c r="AJ156">
        <v>27539</v>
      </c>
      <c r="AK156">
        <v>17789</v>
      </c>
      <c r="AL156">
        <v>6185</v>
      </c>
      <c r="AM156">
        <v>1063</v>
      </c>
      <c r="AN156">
        <v>3837</v>
      </c>
      <c r="AO156">
        <v>17</v>
      </c>
      <c r="AP156">
        <v>11101</v>
      </c>
      <c r="AQ156">
        <v>9318</v>
      </c>
      <c r="AR156" t="s">
        <v>58</v>
      </c>
      <c r="AS156">
        <v>36.880000000000003</v>
      </c>
      <c r="AT156" t="s">
        <v>58</v>
      </c>
      <c r="AU156" t="s">
        <v>58</v>
      </c>
      <c r="AV156" t="s">
        <v>58</v>
      </c>
      <c r="AW156" t="s">
        <v>58</v>
      </c>
      <c r="AX156" t="s">
        <v>58</v>
      </c>
      <c r="AY156">
        <v>525.25</v>
      </c>
      <c r="AZ156">
        <v>316.91000000000003</v>
      </c>
      <c r="BA156">
        <v>81.430000000000007</v>
      </c>
      <c r="BB156">
        <v>39.53</v>
      </c>
      <c r="BC156">
        <v>14.39</v>
      </c>
      <c r="BD156">
        <v>42.65</v>
      </c>
    </row>
    <row r="157" spans="1:56" x14ac:dyDescent="0.25">
      <c r="A157" t="s">
        <v>55</v>
      </c>
      <c r="B157" t="s">
        <v>56</v>
      </c>
      <c r="C157" t="s">
        <v>219</v>
      </c>
      <c r="D157" t="s">
        <v>220</v>
      </c>
      <c r="E157" t="s">
        <v>221</v>
      </c>
      <c r="G157" t="s">
        <v>57</v>
      </c>
      <c r="H157" t="s">
        <v>58</v>
      </c>
      <c r="I157">
        <v>2</v>
      </c>
      <c r="J157" t="s">
        <v>58</v>
      </c>
      <c r="K157" t="s">
        <v>58</v>
      </c>
      <c r="L157">
        <v>84</v>
      </c>
      <c r="M157" t="s">
        <v>58</v>
      </c>
      <c r="N157" t="s">
        <v>58</v>
      </c>
      <c r="O157" t="s">
        <v>58</v>
      </c>
      <c r="P157" t="s">
        <v>58</v>
      </c>
      <c r="Q157">
        <v>10</v>
      </c>
      <c r="R157">
        <v>25290</v>
      </c>
      <c r="S157" t="s">
        <v>58</v>
      </c>
      <c r="T157" t="s">
        <v>58</v>
      </c>
      <c r="U157" t="s">
        <v>58</v>
      </c>
      <c r="V157">
        <v>556</v>
      </c>
      <c r="W157">
        <v>25476</v>
      </c>
      <c r="X157" t="s">
        <v>58</v>
      </c>
      <c r="Y157" t="s">
        <v>58</v>
      </c>
      <c r="Z157" t="s">
        <v>58</v>
      </c>
      <c r="AA157" t="s">
        <v>58</v>
      </c>
      <c r="AB157">
        <v>6073</v>
      </c>
      <c r="AC157">
        <v>0</v>
      </c>
      <c r="AD157">
        <v>0</v>
      </c>
      <c r="AE157" t="s">
        <v>58</v>
      </c>
      <c r="AF157">
        <v>6</v>
      </c>
      <c r="AG157">
        <v>2</v>
      </c>
      <c r="AH157">
        <v>1</v>
      </c>
      <c r="AI157">
        <v>18116</v>
      </c>
      <c r="AJ157">
        <v>1929</v>
      </c>
      <c r="AK157">
        <v>940</v>
      </c>
      <c r="AL157">
        <v>1265</v>
      </c>
      <c r="AM157">
        <v>38</v>
      </c>
      <c r="AN157">
        <v>213</v>
      </c>
      <c r="AO157">
        <v>49</v>
      </c>
      <c r="AP157">
        <v>3567</v>
      </c>
      <c r="AQ157">
        <v>3039</v>
      </c>
      <c r="AR157" t="s">
        <v>58</v>
      </c>
      <c r="AS157">
        <v>6.02</v>
      </c>
      <c r="AT157" t="s">
        <v>58</v>
      </c>
      <c r="AU157" t="s">
        <v>58</v>
      </c>
      <c r="AV157">
        <v>0</v>
      </c>
      <c r="AW157">
        <v>1</v>
      </c>
      <c r="AX157" t="s">
        <v>58</v>
      </c>
      <c r="AY157">
        <v>149.99</v>
      </c>
      <c r="AZ157">
        <v>88.5</v>
      </c>
      <c r="BA157">
        <v>34.229999999999997</v>
      </c>
      <c r="BB157">
        <v>5.42</v>
      </c>
      <c r="BC157">
        <v>0.25</v>
      </c>
      <c r="BD157">
        <v>5.99</v>
      </c>
    </row>
    <row r="158" spans="1:56" s="108" customFormat="1" x14ac:dyDescent="0.25">
      <c r="A158" s="108" t="s">
        <v>55</v>
      </c>
      <c r="B158" s="108" t="s">
        <v>56</v>
      </c>
      <c r="C158" s="108" t="s">
        <v>219</v>
      </c>
      <c r="D158" s="108" t="s">
        <v>220</v>
      </c>
      <c r="E158" s="108" t="s">
        <v>221</v>
      </c>
      <c r="F158" s="281">
        <v>820000016</v>
      </c>
      <c r="G158" s="108" t="s">
        <v>59</v>
      </c>
      <c r="H158" s="108" t="s">
        <v>58</v>
      </c>
      <c r="I158" s="108">
        <v>1</v>
      </c>
      <c r="J158" s="108" t="s">
        <v>58</v>
      </c>
      <c r="K158" s="108" t="s">
        <v>58</v>
      </c>
      <c r="L158" s="108">
        <v>8</v>
      </c>
      <c r="M158" s="108" t="s">
        <v>58</v>
      </c>
      <c r="N158" s="108" t="s">
        <v>58</v>
      </c>
      <c r="O158" s="108" t="s">
        <v>58</v>
      </c>
      <c r="P158" s="108" t="s">
        <v>58</v>
      </c>
      <c r="Q158" s="108" t="s">
        <v>58</v>
      </c>
      <c r="R158" s="108">
        <v>2845</v>
      </c>
      <c r="S158" s="108" t="s">
        <v>58</v>
      </c>
      <c r="T158" s="108" t="s">
        <v>58</v>
      </c>
      <c r="U158" s="108" t="s">
        <v>58</v>
      </c>
      <c r="V158" s="108">
        <v>73</v>
      </c>
      <c r="W158" s="108">
        <v>2285</v>
      </c>
      <c r="X158" s="108" t="s">
        <v>58</v>
      </c>
      <c r="Y158" s="108" t="s">
        <v>58</v>
      </c>
      <c r="Z158" s="108" t="s">
        <v>58</v>
      </c>
      <c r="AA158" s="108" t="s">
        <v>58</v>
      </c>
      <c r="AB158" s="108" t="s">
        <v>58</v>
      </c>
      <c r="AC158" s="108">
        <v>0</v>
      </c>
      <c r="AD158" s="108" t="s">
        <v>58</v>
      </c>
      <c r="AE158" s="108" t="s">
        <v>58</v>
      </c>
      <c r="AF158" s="108">
        <v>3</v>
      </c>
      <c r="AG158" s="108">
        <v>1</v>
      </c>
      <c r="AH158" s="108" t="s">
        <v>58</v>
      </c>
      <c r="AI158" s="108">
        <v>1695</v>
      </c>
      <c r="AJ158" s="108">
        <v>50</v>
      </c>
      <c r="AK158" s="108">
        <v>0</v>
      </c>
      <c r="AL158" s="108">
        <v>338</v>
      </c>
      <c r="AM158" s="108">
        <v>0</v>
      </c>
      <c r="AN158" s="108">
        <v>1245</v>
      </c>
      <c r="AO158" s="108">
        <v>0</v>
      </c>
      <c r="AP158" s="108">
        <v>733</v>
      </c>
      <c r="AQ158" s="108">
        <v>672</v>
      </c>
      <c r="AR158" s="108" t="s">
        <v>58</v>
      </c>
      <c r="AS158" s="108">
        <v>1.4</v>
      </c>
      <c r="AT158" s="108" t="s">
        <v>58</v>
      </c>
      <c r="AU158" s="108" t="s">
        <v>58</v>
      </c>
      <c r="AV158" s="108">
        <v>0</v>
      </c>
      <c r="AW158" s="108">
        <v>1</v>
      </c>
      <c r="AX158" s="108" t="s">
        <v>58</v>
      </c>
      <c r="AY158" s="108">
        <v>26.67</v>
      </c>
      <c r="AZ158" s="108">
        <v>12.67</v>
      </c>
      <c r="BA158" s="108">
        <v>0.03</v>
      </c>
      <c r="BB158" s="108">
        <v>2.72</v>
      </c>
      <c r="BC158" s="108">
        <v>0.52</v>
      </c>
      <c r="BD158" s="108">
        <v>8.74</v>
      </c>
    </row>
    <row r="159" spans="1:56" x14ac:dyDescent="0.25">
      <c r="A159" t="s">
        <v>55</v>
      </c>
      <c r="B159" t="s">
        <v>56</v>
      </c>
      <c r="C159" t="s">
        <v>219</v>
      </c>
      <c r="D159" t="s">
        <v>220</v>
      </c>
      <c r="E159" t="s">
        <v>221</v>
      </c>
      <c r="F159" s="273">
        <v>820000016</v>
      </c>
      <c r="G159" t="s">
        <v>60</v>
      </c>
      <c r="H159" t="s">
        <v>58</v>
      </c>
      <c r="I159" t="s">
        <v>58</v>
      </c>
      <c r="J159" t="s">
        <v>58</v>
      </c>
      <c r="K159" t="s">
        <v>58</v>
      </c>
      <c r="L159" t="s">
        <v>58</v>
      </c>
      <c r="M159" t="s">
        <v>58</v>
      </c>
      <c r="N159" t="s">
        <v>58</v>
      </c>
      <c r="O159" t="s">
        <v>58</v>
      </c>
      <c r="P159" t="s">
        <v>58</v>
      </c>
      <c r="Q159" t="s">
        <v>58</v>
      </c>
      <c r="R159" t="s">
        <v>58</v>
      </c>
      <c r="S159" t="s">
        <v>58</v>
      </c>
      <c r="T159" t="s">
        <v>58</v>
      </c>
      <c r="U159" t="s">
        <v>58</v>
      </c>
      <c r="V159" t="s">
        <v>58</v>
      </c>
      <c r="W159" t="s">
        <v>58</v>
      </c>
      <c r="X159" t="s">
        <v>58</v>
      </c>
      <c r="Y159" t="s">
        <v>58</v>
      </c>
      <c r="Z159" t="s">
        <v>58</v>
      </c>
      <c r="AA159" t="s">
        <v>58</v>
      </c>
      <c r="AB159" t="s">
        <v>58</v>
      </c>
      <c r="AC159" t="s">
        <v>58</v>
      </c>
      <c r="AD159" t="s">
        <v>58</v>
      </c>
      <c r="AE159" t="s">
        <v>58</v>
      </c>
      <c r="AF159" t="s">
        <v>58</v>
      </c>
      <c r="AG159" t="s">
        <v>58</v>
      </c>
      <c r="AH159" t="s">
        <v>58</v>
      </c>
      <c r="AI159" t="s">
        <v>58</v>
      </c>
      <c r="AJ159" t="s">
        <v>58</v>
      </c>
      <c r="AK159" t="s">
        <v>58</v>
      </c>
      <c r="AL159" t="s">
        <v>58</v>
      </c>
      <c r="AM159" t="s">
        <v>58</v>
      </c>
      <c r="AN159" t="s">
        <v>58</v>
      </c>
      <c r="AO159" t="s">
        <v>58</v>
      </c>
      <c r="AP159" t="s">
        <v>58</v>
      </c>
      <c r="AQ159" t="s">
        <v>58</v>
      </c>
      <c r="AR159" t="s">
        <v>58</v>
      </c>
      <c r="AS159">
        <v>0.3</v>
      </c>
      <c r="AT159" t="s">
        <v>58</v>
      </c>
      <c r="AU159">
        <v>1.1299999999999999</v>
      </c>
      <c r="AV159" t="s">
        <v>58</v>
      </c>
      <c r="AW159" t="s">
        <v>58</v>
      </c>
      <c r="AX159" t="s">
        <v>58</v>
      </c>
      <c r="AY159" t="s">
        <v>58</v>
      </c>
      <c r="AZ159" t="s">
        <v>58</v>
      </c>
      <c r="BA159" t="s">
        <v>58</v>
      </c>
      <c r="BB159" t="s">
        <v>58</v>
      </c>
      <c r="BC159" t="s">
        <v>58</v>
      </c>
      <c r="BD159" t="s">
        <v>58</v>
      </c>
    </row>
    <row r="160" spans="1:56" s="107" customFormat="1" hidden="1" x14ac:dyDescent="0.25">
      <c r="A160" s="107" t="s">
        <v>55</v>
      </c>
      <c r="B160" s="107" t="s">
        <v>56</v>
      </c>
      <c r="C160" s="107" t="s">
        <v>219</v>
      </c>
      <c r="D160" s="107" t="s">
        <v>220</v>
      </c>
      <c r="E160" s="107" t="s">
        <v>221</v>
      </c>
      <c r="G160" s="107" t="s">
        <v>61</v>
      </c>
      <c r="H160" s="107">
        <v>1</v>
      </c>
      <c r="I160" s="107" t="s">
        <v>58</v>
      </c>
      <c r="J160" s="107" t="s">
        <v>58</v>
      </c>
      <c r="K160" s="107">
        <v>1</v>
      </c>
      <c r="L160" s="107">
        <v>92</v>
      </c>
      <c r="M160" s="107">
        <v>0</v>
      </c>
      <c r="N160" s="107">
        <v>0</v>
      </c>
      <c r="O160" s="107">
        <v>0</v>
      </c>
      <c r="P160" s="107">
        <v>0</v>
      </c>
      <c r="Q160" s="107">
        <v>10</v>
      </c>
      <c r="R160" s="107">
        <v>28135</v>
      </c>
      <c r="S160" s="107">
        <v>0</v>
      </c>
      <c r="T160" s="107">
        <v>0</v>
      </c>
      <c r="U160" s="107">
        <v>0</v>
      </c>
      <c r="V160" s="107">
        <v>629</v>
      </c>
      <c r="W160" s="107">
        <v>27761</v>
      </c>
      <c r="X160" s="107">
        <v>0</v>
      </c>
      <c r="Y160" s="107">
        <v>0</v>
      </c>
      <c r="Z160" s="107">
        <v>0</v>
      </c>
      <c r="AA160" s="107">
        <v>0</v>
      </c>
      <c r="AB160" s="107">
        <v>6073</v>
      </c>
      <c r="AC160" s="107">
        <v>0</v>
      </c>
      <c r="AD160" s="107">
        <v>0</v>
      </c>
      <c r="AE160" s="107">
        <v>0</v>
      </c>
      <c r="AF160" s="107">
        <v>9</v>
      </c>
      <c r="AG160" s="107">
        <v>3</v>
      </c>
      <c r="AH160" s="107">
        <v>1</v>
      </c>
      <c r="AI160" s="107">
        <v>19811</v>
      </c>
      <c r="AJ160" s="107">
        <v>1979</v>
      </c>
      <c r="AK160" s="107">
        <v>940</v>
      </c>
      <c r="AL160" s="107">
        <v>1603</v>
      </c>
      <c r="AM160" s="107">
        <v>38</v>
      </c>
      <c r="AN160" s="107">
        <v>1458</v>
      </c>
      <c r="AO160" s="107">
        <v>49</v>
      </c>
      <c r="AP160" s="107">
        <v>4256</v>
      </c>
      <c r="AQ160" s="107">
        <v>3671</v>
      </c>
      <c r="AR160" s="107" t="s">
        <v>58</v>
      </c>
      <c r="AS160" s="107">
        <v>7.72</v>
      </c>
      <c r="AT160" s="107" t="s">
        <v>58</v>
      </c>
      <c r="AU160" s="107">
        <v>1.1299999999999999</v>
      </c>
      <c r="AV160" s="107" t="s">
        <v>58</v>
      </c>
      <c r="AW160" s="107" t="s">
        <v>58</v>
      </c>
      <c r="AX160" s="107" t="s">
        <v>58</v>
      </c>
      <c r="AY160" s="107">
        <v>176.66</v>
      </c>
      <c r="AZ160" s="107">
        <v>101.17</v>
      </c>
      <c r="BA160" s="107">
        <v>34.26</v>
      </c>
      <c r="BB160" s="107">
        <v>8.14</v>
      </c>
      <c r="BC160" s="107">
        <v>0.77</v>
      </c>
      <c r="BD160" s="107">
        <v>14.73</v>
      </c>
    </row>
    <row r="161" spans="1:56" x14ac:dyDescent="0.25">
      <c r="A161" t="s">
        <v>55</v>
      </c>
      <c r="B161" t="s">
        <v>56</v>
      </c>
      <c r="C161" t="s">
        <v>222</v>
      </c>
      <c r="D161" t="s">
        <v>223</v>
      </c>
      <c r="E161" t="s">
        <v>84</v>
      </c>
      <c r="G161" t="s">
        <v>57</v>
      </c>
      <c r="H161" t="s">
        <v>58</v>
      </c>
      <c r="I161" t="s">
        <v>58</v>
      </c>
      <c r="J161" t="s">
        <v>58</v>
      </c>
      <c r="K161" t="s">
        <v>58</v>
      </c>
      <c r="L161">
        <v>30</v>
      </c>
      <c r="M161" t="s">
        <v>58</v>
      </c>
      <c r="N161">
        <v>3</v>
      </c>
      <c r="O161" t="s">
        <v>58</v>
      </c>
      <c r="P161" t="s">
        <v>58</v>
      </c>
      <c r="Q161" t="s">
        <v>58</v>
      </c>
      <c r="R161">
        <v>8864</v>
      </c>
      <c r="S161">
        <v>3</v>
      </c>
      <c r="T161" t="s">
        <v>58</v>
      </c>
      <c r="U161" t="s">
        <v>58</v>
      </c>
      <c r="V161">
        <v>129</v>
      </c>
      <c r="W161">
        <v>8864</v>
      </c>
      <c r="X161" t="s">
        <v>58</v>
      </c>
      <c r="Y161">
        <v>101</v>
      </c>
      <c r="Z161" t="s">
        <v>58</v>
      </c>
      <c r="AA161" t="s">
        <v>58</v>
      </c>
      <c r="AB161" t="s">
        <v>58</v>
      </c>
      <c r="AC161">
        <v>310</v>
      </c>
      <c r="AD161" t="s">
        <v>58</v>
      </c>
      <c r="AE161" t="s">
        <v>58</v>
      </c>
      <c r="AF161" t="s">
        <v>58</v>
      </c>
      <c r="AG161" t="s">
        <v>58</v>
      </c>
      <c r="AH161" t="s">
        <v>58</v>
      </c>
      <c r="AI161" t="s">
        <v>58</v>
      </c>
      <c r="AJ161" t="s">
        <v>58</v>
      </c>
      <c r="AK161" t="s">
        <v>58</v>
      </c>
      <c r="AL161" t="s">
        <v>58</v>
      </c>
      <c r="AM161" t="s">
        <v>58</v>
      </c>
      <c r="AN161" t="s">
        <v>58</v>
      </c>
      <c r="AO161" t="s">
        <v>58</v>
      </c>
      <c r="AP161">
        <v>48</v>
      </c>
      <c r="AQ161" t="s">
        <v>58</v>
      </c>
      <c r="AR161" t="s">
        <v>58</v>
      </c>
      <c r="AS161">
        <v>0.64</v>
      </c>
      <c r="AT161" t="s">
        <v>58</v>
      </c>
      <c r="AU161" t="s">
        <v>58</v>
      </c>
      <c r="AV161">
        <v>1</v>
      </c>
      <c r="AW161">
        <v>1</v>
      </c>
      <c r="AX161" t="s">
        <v>58</v>
      </c>
      <c r="AY161">
        <v>31.82</v>
      </c>
      <c r="AZ161">
        <v>11.64</v>
      </c>
      <c r="BA161">
        <v>5.14</v>
      </c>
      <c r="BB161">
        <v>0.73</v>
      </c>
      <c r="BC161" t="s">
        <v>58</v>
      </c>
      <c r="BD161">
        <v>9.94</v>
      </c>
    </row>
    <row r="162" spans="1:56" hidden="1" x14ac:dyDescent="0.25">
      <c r="A162" t="s">
        <v>55</v>
      </c>
      <c r="B162" t="s">
        <v>56</v>
      </c>
      <c r="C162" t="s">
        <v>222</v>
      </c>
      <c r="D162" t="s">
        <v>223</v>
      </c>
      <c r="E162" t="s">
        <v>84</v>
      </c>
      <c r="G162" t="s">
        <v>61</v>
      </c>
      <c r="H162">
        <v>0</v>
      </c>
      <c r="I162" t="s">
        <v>58</v>
      </c>
      <c r="J162" t="s">
        <v>58</v>
      </c>
      <c r="K162">
        <v>0</v>
      </c>
      <c r="L162">
        <v>30</v>
      </c>
      <c r="M162" t="s">
        <v>58</v>
      </c>
      <c r="N162">
        <v>3</v>
      </c>
      <c r="O162" t="s">
        <v>58</v>
      </c>
      <c r="P162" t="s">
        <v>58</v>
      </c>
      <c r="Q162" t="s">
        <v>58</v>
      </c>
      <c r="R162">
        <v>8864</v>
      </c>
      <c r="S162">
        <v>3</v>
      </c>
      <c r="T162" t="s">
        <v>58</v>
      </c>
      <c r="U162" t="s">
        <v>58</v>
      </c>
      <c r="V162">
        <v>129</v>
      </c>
      <c r="W162">
        <v>8864</v>
      </c>
      <c r="X162" t="s">
        <v>58</v>
      </c>
      <c r="Y162">
        <v>101</v>
      </c>
      <c r="Z162" t="s">
        <v>58</v>
      </c>
      <c r="AA162" t="s">
        <v>58</v>
      </c>
      <c r="AB162" t="s">
        <v>58</v>
      </c>
      <c r="AC162">
        <v>310</v>
      </c>
      <c r="AD162" t="s">
        <v>58</v>
      </c>
      <c r="AE162" t="s">
        <v>58</v>
      </c>
      <c r="AF162" t="s">
        <v>58</v>
      </c>
      <c r="AG162" t="s">
        <v>58</v>
      </c>
      <c r="AH162" t="s">
        <v>58</v>
      </c>
      <c r="AI162" t="s">
        <v>58</v>
      </c>
      <c r="AJ162" t="s">
        <v>58</v>
      </c>
      <c r="AK162" t="s">
        <v>58</v>
      </c>
      <c r="AL162" t="s">
        <v>58</v>
      </c>
      <c r="AM162" t="s">
        <v>58</v>
      </c>
      <c r="AN162" t="s">
        <v>58</v>
      </c>
      <c r="AO162" t="s">
        <v>58</v>
      </c>
      <c r="AP162">
        <v>94</v>
      </c>
      <c r="AQ162" t="s">
        <v>58</v>
      </c>
      <c r="AR162" t="s">
        <v>58</v>
      </c>
      <c r="AS162">
        <v>0.64</v>
      </c>
      <c r="AT162" t="s">
        <v>58</v>
      </c>
      <c r="AU162" t="s">
        <v>58</v>
      </c>
      <c r="AV162" t="s">
        <v>58</v>
      </c>
      <c r="AW162" t="s">
        <v>58</v>
      </c>
      <c r="AX162" t="s">
        <v>58</v>
      </c>
      <c r="AY162">
        <v>31.82</v>
      </c>
      <c r="AZ162">
        <v>11.64</v>
      </c>
      <c r="BA162">
        <v>5.14</v>
      </c>
      <c r="BB162">
        <v>0.73</v>
      </c>
      <c r="BC162" t="s">
        <v>58</v>
      </c>
      <c r="BD162">
        <v>9.94</v>
      </c>
    </row>
    <row r="163" spans="1:56" x14ac:dyDescent="0.25">
      <c r="A163" t="s">
        <v>55</v>
      </c>
      <c r="B163" t="s">
        <v>56</v>
      </c>
      <c r="C163" t="s">
        <v>224</v>
      </c>
      <c r="D163" t="s">
        <v>225</v>
      </c>
      <c r="E163" t="s">
        <v>221</v>
      </c>
      <c r="G163" t="s">
        <v>57</v>
      </c>
      <c r="H163" t="s">
        <v>58</v>
      </c>
      <c r="I163">
        <v>3</v>
      </c>
      <c r="J163" t="s">
        <v>58</v>
      </c>
      <c r="K163" t="s">
        <v>58</v>
      </c>
      <c r="L163">
        <v>98</v>
      </c>
      <c r="M163">
        <v>11</v>
      </c>
      <c r="N163" t="s">
        <v>58</v>
      </c>
      <c r="O163" t="s">
        <v>58</v>
      </c>
      <c r="P163" t="s">
        <v>58</v>
      </c>
      <c r="Q163" t="s">
        <v>58</v>
      </c>
      <c r="R163">
        <v>33854</v>
      </c>
      <c r="S163">
        <v>47</v>
      </c>
      <c r="T163" t="s">
        <v>58</v>
      </c>
      <c r="U163" t="s">
        <v>58</v>
      </c>
      <c r="V163">
        <v>474</v>
      </c>
      <c r="W163">
        <v>26549</v>
      </c>
      <c r="X163">
        <v>365</v>
      </c>
      <c r="Y163" t="s">
        <v>58</v>
      </c>
      <c r="Z163" t="s">
        <v>58</v>
      </c>
      <c r="AA163" t="s">
        <v>58</v>
      </c>
      <c r="AB163" t="s">
        <v>58</v>
      </c>
      <c r="AC163">
        <v>5324</v>
      </c>
      <c r="AD163" t="s">
        <v>58</v>
      </c>
      <c r="AE163" t="s">
        <v>58</v>
      </c>
      <c r="AF163">
        <v>11</v>
      </c>
      <c r="AG163">
        <v>1</v>
      </c>
      <c r="AH163">
        <v>3</v>
      </c>
      <c r="AI163">
        <v>30741</v>
      </c>
      <c r="AJ163">
        <v>120</v>
      </c>
      <c r="AK163">
        <v>3456</v>
      </c>
      <c r="AL163">
        <v>5084</v>
      </c>
      <c r="AM163">
        <v>622</v>
      </c>
      <c r="AN163">
        <v>82</v>
      </c>
      <c r="AO163">
        <v>0</v>
      </c>
      <c r="AP163">
        <v>4658</v>
      </c>
      <c r="AQ163">
        <v>4163</v>
      </c>
      <c r="AR163" t="s">
        <v>58</v>
      </c>
      <c r="AS163">
        <v>6.81</v>
      </c>
      <c r="AT163" t="s">
        <v>58</v>
      </c>
      <c r="AU163">
        <v>2</v>
      </c>
      <c r="AV163">
        <v>0</v>
      </c>
      <c r="AW163">
        <v>1</v>
      </c>
      <c r="AX163" t="s">
        <v>58</v>
      </c>
      <c r="AY163">
        <v>156.04</v>
      </c>
      <c r="AZ163">
        <v>106.04</v>
      </c>
      <c r="BA163">
        <v>27.47</v>
      </c>
      <c r="BB163">
        <v>6.1</v>
      </c>
      <c r="BC163">
        <v>0.05</v>
      </c>
      <c r="BD163">
        <v>3.09</v>
      </c>
    </row>
    <row r="164" spans="1:56" s="108" customFormat="1" x14ac:dyDescent="0.25">
      <c r="A164" s="108" t="s">
        <v>55</v>
      </c>
      <c r="B164" s="108" t="s">
        <v>56</v>
      </c>
      <c r="C164" s="108" t="s">
        <v>224</v>
      </c>
      <c r="D164" s="108" t="s">
        <v>225</v>
      </c>
      <c r="E164" s="108" t="s">
        <v>221</v>
      </c>
      <c r="F164" s="281">
        <v>820000016</v>
      </c>
      <c r="G164" s="108" t="s">
        <v>59</v>
      </c>
      <c r="H164" s="108" t="s">
        <v>58</v>
      </c>
      <c r="I164" s="108">
        <v>1</v>
      </c>
      <c r="J164" s="108" t="s">
        <v>58</v>
      </c>
      <c r="K164" s="108" t="s">
        <v>58</v>
      </c>
      <c r="L164" s="108" t="s">
        <v>58</v>
      </c>
      <c r="M164" s="108">
        <v>3</v>
      </c>
      <c r="N164" s="108" t="s">
        <v>58</v>
      </c>
      <c r="O164" s="108" t="s">
        <v>58</v>
      </c>
      <c r="P164" s="108" t="s">
        <v>58</v>
      </c>
      <c r="Q164" s="108" t="s">
        <v>58</v>
      </c>
      <c r="R164" s="108" t="s">
        <v>58</v>
      </c>
      <c r="S164" s="108">
        <v>42</v>
      </c>
      <c r="T164" s="108" t="s">
        <v>58</v>
      </c>
      <c r="U164" s="108" t="s">
        <v>58</v>
      </c>
      <c r="V164" s="108">
        <v>0</v>
      </c>
      <c r="W164" s="108" t="s">
        <v>58</v>
      </c>
      <c r="X164" s="108" t="s">
        <v>58</v>
      </c>
      <c r="Y164" s="108" t="s">
        <v>58</v>
      </c>
      <c r="Z164" s="108" t="s">
        <v>58</v>
      </c>
      <c r="AA164" s="108" t="s">
        <v>58</v>
      </c>
      <c r="AB164" s="108" t="s">
        <v>58</v>
      </c>
      <c r="AC164" s="108">
        <v>1828</v>
      </c>
      <c r="AD164" s="108" t="s">
        <v>58</v>
      </c>
      <c r="AE164" s="108" t="s">
        <v>58</v>
      </c>
      <c r="AF164" s="108">
        <v>7</v>
      </c>
      <c r="AG164" s="108">
        <v>2</v>
      </c>
      <c r="AH164" s="108">
        <v>1</v>
      </c>
      <c r="AI164" s="108">
        <v>14411</v>
      </c>
      <c r="AJ164" s="108">
        <v>108</v>
      </c>
      <c r="AK164" s="108">
        <v>1097</v>
      </c>
      <c r="AL164" s="108">
        <v>11</v>
      </c>
      <c r="AM164" s="108">
        <v>0</v>
      </c>
      <c r="AN164" s="108">
        <v>66</v>
      </c>
      <c r="AO164" s="108">
        <v>0</v>
      </c>
      <c r="AP164" s="108">
        <v>1299</v>
      </c>
      <c r="AQ164" s="108">
        <v>1248</v>
      </c>
      <c r="AR164" s="108" t="s">
        <v>58</v>
      </c>
      <c r="AS164" s="108">
        <v>4.9800000000000004</v>
      </c>
      <c r="AT164" s="108" t="s">
        <v>58</v>
      </c>
      <c r="AU164" s="108" t="s">
        <v>58</v>
      </c>
      <c r="AV164" s="108">
        <v>0</v>
      </c>
      <c r="AW164" s="108">
        <v>1</v>
      </c>
      <c r="AX164" s="108" t="s">
        <v>58</v>
      </c>
      <c r="AY164" s="108">
        <v>48.08</v>
      </c>
      <c r="AZ164" s="108">
        <v>13.58</v>
      </c>
      <c r="BA164" s="108">
        <v>4.4400000000000004</v>
      </c>
      <c r="BB164" s="108">
        <v>7.55</v>
      </c>
      <c r="BC164" s="108">
        <v>6.15</v>
      </c>
      <c r="BD164" s="108">
        <v>13.53</v>
      </c>
    </row>
    <row r="165" spans="1:56" s="107" customFormat="1" hidden="1" x14ac:dyDescent="0.25">
      <c r="A165" s="107" t="s">
        <v>55</v>
      </c>
      <c r="B165" s="107" t="s">
        <v>56</v>
      </c>
      <c r="C165" s="107" t="s">
        <v>224</v>
      </c>
      <c r="D165" s="107" t="s">
        <v>225</v>
      </c>
      <c r="E165" s="107" t="s">
        <v>221</v>
      </c>
      <c r="G165" s="107" t="s">
        <v>61</v>
      </c>
      <c r="H165" s="107">
        <v>1</v>
      </c>
      <c r="I165" s="107" t="s">
        <v>58</v>
      </c>
      <c r="J165" s="107" t="s">
        <v>58</v>
      </c>
      <c r="K165" s="107">
        <v>0</v>
      </c>
      <c r="L165" s="107">
        <v>98</v>
      </c>
      <c r="M165" s="107">
        <v>14</v>
      </c>
      <c r="N165" s="107">
        <v>0</v>
      </c>
      <c r="O165" s="107">
        <v>0</v>
      </c>
      <c r="P165" s="107">
        <v>0</v>
      </c>
      <c r="Q165" s="107">
        <v>0</v>
      </c>
      <c r="R165" s="107">
        <v>33854</v>
      </c>
      <c r="S165" s="107">
        <v>89</v>
      </c>
      <c r="T165" s="107">
        <v>0</v>
      </c>
      <c r="U165" s="107">
        <v>0</v>
      </c>
      <c r="V165" s="107">
        <v>474</v>
      </c>
      <c r="W165" s="107">
        <v>26549</v>
      </c>
      <c r="X165" s="107">
        <v>365</v>
      </c>
      <c r="Y165" s="107">
        <v>0</v>
      </c>
      <c r="Z165" s="107">
        <v>0</v>
      </c>
      <c r="AA165" s="107">
        <v>0</v>
      </c>
      <c r="AB165" s="107">
        <v>0</v>
      </c>
      <c r="AC165" s="107">
        <v>7152</v>
      </c>
      <c r="AD165" s="107">
        <v>0</v>
      </c>
      <c r="AE165" s="107">
        <v>0</v>
      </c>
      <c r="AF165" s="107">
        <v>18</v>
      </c>
      <c r="AG165" s="107">
        <v>3</v>
      </c>
      <c r="AH165" s="107">
        <v>4</v>
      </c>
      <c r="AI165" s="107">
        <v>45152</v>
      </c>
      <c r="AJ165" s="107">
        <v>228</v>
      </c>
      <c r="AK165" s="107">
        <v>4553</v>
      </c>
      <c r="AL165" s="107">
        <v>5095</v>
      </c>
      <c r="AM165" s="107">
        <v>622</v>
      </c>
      <c r="AN165" s="107">
        <v>148</v>
      </c>
      <c r="AO165" s="107">
        <v>0</v>
      </c>
      <c r="AP165" s="107">
        <v>5916</v>
      </c>
      <c r="AQ165" s="107">
        <v>5370</v>
      </c>
      <c r="AR165" s="107" t="s">
        <v>58</v>
      </c>
      <c r="AS165" s="107">
        <v>11.79</v>
      </c>
      <c r="AT165" s="107" t="s">
        <v>58</v>
      </c>
      <c r="AU165" s="107">
        <v>2</v>
      </c>
      <c r="AV165" s="107" t="s">
        <v>58</v>
      </c>
      <c r="AW165" s="107" t="s">
        <v>58</v>
      </c>
      <c r="AX165" s="107" t="s">
        <v>58</v>
      </c>
      <c r="AY165" s="107">
        <v>204.12</v>
      </c>
      <c r="AZ165" s="107">
        <v>119.62</v>
      </c>
      <c r="BA165" s="107">
        <v>31.91</v>
      </c>
      <c r="BB165" s="107">
        <v>13.65</v>
      </c>
      <c r="BC165" s="107">
        <v>6.2</v>
      </c>
      <c r="BD165" s="107">
        <v>16.62</v>
      </c>
    </row>
    <row r="166" spans="1:56" s="108" customFormat="1" x14ac:dyDescent="0.25">
      <c r="A166" s="108" t="s">
        <v>55</v>
      </c>
      <c r="B166" s="108" t="s">
        <v>56</v>
      </c>
      <c r="C166" s="108" t="s">
        <v>226</v>
      </c>
      <c r="D166" s="108" t="s">
        <v>227</v>
      </c>
      <c r="E166" s="108" t="s">
        <v>124</v>
      </c>
      <c r="F166" s="283">
        <v>820005908</v>
      </c>
      <c r="G166" s="108" t="s">
        <v>59</v>
      </c>
      <c r="H166" s="108" t="s">
        <v>58</v>
      </c>
      <c r="I166" s="108">
        <v>1</v>
      </c>
      <c r="J166" s="108" t="s">
        <v>58</v>
      </c>
      <c r="K166" s="108" t="s">
        <v>58</v>
      </c>
      <c r="L166" s="108" t="s">
        <v>58</v>
      </c>
      <c r="M166" s="108" t="s">
        <v>58</v>
      </c>
      <c r="N166" s="108" t="s">
        <v>58</v>
      </c>
      <c r="O166" s="108" t="s">
        <v>58</v>
      </c>
      <c r="P166" s="108" t="s">
        <v>58</v>
      </c>
      <c r="Q166" s="108" t="s">
        <v>58</v>
      </c>
      <c r="R166" s="108" t="s">
        <v>58</v>
      </c>
      <c r="S166" s="108" t="s">
        <v>58</v>
      </c>
      <c r="T166" s="108" t="s">
        <v>58</v>
      </c>
      <c r="U166" s="108">
        <v>1</v>
      </c>
      <c r="V166" s="108" t="s">
        <v>58</v>
      </c>
      <c r="W166" s="108" t="s">
        <v>58</v>
      </c>
      <c r="X166" s="108" t="s">
        <v>58</v>
      </c>
      <c r="Y166" s="108" t="s">
        <v>58</v>
      </c>
      <c r="Z166" s="108" t="s">
        <v>58</v>
      </c>
      <c r="AA166" s="108" t="s">
        <v>58</v>
      </c>
      <c r="AB166" s="108" t="s">
        <v>58</v>
      </c>
      <c r="AC166" s="108" t="s">
        <v>58</v>
      </c>
      <c r="AD166" s="108" t="s">
        <v>58</v>
      </c>
      <c r="AE166" s="108">
        <v>210</v>
      </c>
      <c r="AF166" s="108">
        <v>1</v>
      </c>
      <c r="AG166" s="108" t="s">
        <v>58</v>
      </c>
      <c r="AH166" s="108" t="s">
        <v>58</v>
      </c>
      <c r="AI166" s="108">
        <v>1357</v>
      </c>
      <c r="AJ166" s="108" t="s">
        <v>58</v>
      </c>
      <c r="AK166" s="108" t="s">
        <v>58</v>
      </c>
      <c r="AL166" s="108" t="s">
        <v>58</v>
      </c>
      <c r="AM166" s="108" t="s">
        <v>58</v>
      </c>
      <c r="AN166" s="108" t="s">
        <v>58</v>
      </c>
      <c r="AO166" s="108" t="s">
        <v>58</v>
      </c>
      <c r="AP166" s="108">
        <v>40</v>
      </c>
      <c r="AQ166" s="108">
        <v>40</v>
      </c>
      <c r="AR166" s="108" t="s">
        <v>58</v>
      </c>
      <c r="AS166" s="108">
        <v>0.24</v>
      </c>
      <c r="AT166" s="108" t="s">
        <v>58</v>
      </c>
      <c r="AU166" s="108" t="s">
        <v>58</v>
      </c>
      <c r="AV166" s="108">
        <v>0</v>
      </c>
      <c r="AW166" s="108">
        <v>0</v>
      </c>
      <c r="AX166" s="108" t="s">
        <v>58</v>
      </c>
      <c r="AY166" s="108">
        <v>2.87</v>
      </c>
      <c r="AZ166" s="108" t="s">
        <v>58</v>
      </c>
      <c r="BA166" s="108" t="s">
        <v>58</v>
      </c>
      <c r="BB166" s="108">
        <v>0.66</v>
      </c>
      <c r="BC166" s="108">
        <v>0.49</v>
      </c>
      <c r="BD166" s="108">
        <v>1.72</v>
      </c>
    </row>
    <row r="167" spans="1:56" hidden="1" x14ac:dyDescent="0.25">
      <c r="A167" t="s">
        <v>55</v>
      </c>
      <c r="B167" t="s">
        <v>56</v>
      </c>
      <c r="C167" t="s">
        <v>226</v>
      </c>
      <c r="D167" t="s">
        <v>227</v>
      </c>
      <c r="E167" t="s">
        <v>124</v>
      </c>
      <c r="G167" t="s">
        <v>61</v>
      </c>
      <c r="H167">
        <v>1</v>
      </c>
      <c r="I167" t="s">
        <v>58</v>
      </c>
      <c r="J167" t="s">
        <v>58</v>
      </c>
      <c r="K167">
        <v>0</v>
      </c>
      <c r="L167" t="s">
        <v>58</v>
      </c>
      <c r="M167" t="s">
        <v>58</v>
      </c>
      <c r="N167" t="s">
        <v>58</v>
      </c>
      <c r="O167" t="s">
        <v>58</v>
      </c>
      <c r="P167" t="s">
        <v>58</v>
      </c>
      <c r="Q167" t="s">
        <v>58</v>
      </c>
      <c r="R167">
        <v>47085</v>
      </c>
      <c r="S167" s="92"/>
      <c r="T167" t="s">
        <v>58</v>
      </c>
      <c r="U167">
        <v>1</v>
      </c>
      <c r="V167" t="s">
        <v>58</v>
      </c>
      <c r="W167" t="s">
        <v>58</v>
      </c>
      <c r="X167" t="s">
        <v>58</v>
      </c>
      <c r="Y167" t="s">
        <v>58</v>
      </c>
      <c r="Z167" t="s">
        <v>58</v>
      </c>
      <c r="AA167" t="s">
        <v>58</v>
      </c>
      <c r="AB167" t="s">
        <v>58</v>
      </c>
      <c r="AC167" t="s">
        <v>58</v>
      </c>
      <c r="AD167" t="s">
        <v>58</v>
      </c>
      <c r="AE167">
        <v>210</v>
      </c>
      <c r="AF167">
        <v>1</v>
      </c>
      <c r="AG167" t="s">
        <v>58</v>
      </c>
      <c r="AH167" t="s">
        <v>58</v>
      </c>
      <c r="AI167">
        <v>1357</v>
      </c>
      <c r="AJ167" t="s">
        <v>58</v>
      </c>
      <c r="AK167" t="s">
        <v>58</v>
      </c>
      <c r="AL167" t="s">
        <v>58</v>
      </c>
      <c r="AM167" t="s">
        <v>58</v>
      </c>
      <c r="AN167" t="s">
        <v>58</v>
      </c>
      <c r="AO167" t="s">
        <v>58</v>
      </c>
      <c r="AP167">
        <v>40</v>
      </c>
      <c r="AQ167">
        <v>40</v>
      </c>
      <c r="AR167" t="s">
        <v>58</v>
      </c>
      <c r="AS167">
        <v>0.24</v>
      </c>
      <c r="AT167" t="s">
        <v>58</v>
      </c>
      <c r="AU167" t="s">
        <v>58</v>
      </c>
      <c r="AV167" t="s">
        <v>58</v>
      </c>
      <c r="AW167" t="s">
        <v>58</v>
      </c>
      <c r="AX167" t="s">
        <v>58</v>
      </c>
      <c r="AY167">
        <v>2.87</v>
      </c>
      <c r="AZ167" t="s">
        <v>58</v>
      </c>
      <c r="BA167" t="s">
        <v>58</v>
      </c>
      <c r="BB167">
        <v>0.66</v>
      </c>
      <c r="BC167">
        <v>0.49</v>
      </c>
      <c r="BD167">
        <v>1.72</v>
      </c>
    </row>
  </sheetData>
  <autoFilter ref="A1:BD167" xr:uid="{88C44442-6305-4E50-9EF5-80A003739DA1}">
    <filterColumn colId="6">
      <filters>
        <filter val="GEN"/>
        <filter val="INF"/>
        <filter val="PEN"/>
      </filters>
    </filterColumn>
    <sortState xmlns:xlrd2="http://schemas.microsoft.com/office/spreadsheetml/2017/richdata2" ref="A5:BD167">
      <sortCondition ref="C5:C16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FC68C-CA67-45FD-B1DC-32BA1F3072E2}">
  <sheetPr codeName="Feuil2"/>
  <dimension ref="A1:L73"/>
  <sheetViews>
    <sheetView zoomScale="115" zoomScaleNormal="115" workbookViewId="0">
      <selection activeCell="B62" sqref="B62"/>
    </sheetView>
  </sheetViews>
  <sheetFormatPr baseColWidth="10" defaultRowHeight="15" x14ac:dyDescent="0.25"/>
  <sheetData>
    <row r="1" spans="1:12" ht="16.5" thickTop="1" x14ac:dyDescent="0.25">
      <c r="A1" s="136" t="s">
        <v>228</v>
      </c>
      <c r="B1" s="1"/>
      <c r="C1" s="1"/>
      <c r="D1" s="1"/>
      <c r="E1" s="1"/>
      <c r="F1" s="1"/>
      <c r="G1" s="1"/>
      <c r="H1" s="1"/>
      <c r="I1" s="1"/>
      <c r="J1" s="1"/>
      <c r="K1" s="1"/>
      <c r="L1" s="1"/>
    </row>
    <row r="2" spans="1:12" ht="15.75" x14ac:dyDescent="0.25">
      <c r="A2" s="137" t="s">
        <v>306</v>
      </c>
      <c r="B2" s="1"/>
      <c r="C2" s="1"/>
      <c r="D2" s="1"/>
      <c r="E2" s="1"/>
      <c r="F2" s="1"/>
      <c r="G2" s="1"/>
      <c r="H2" s="1"/>
      <c r="I2" s="1"/>
      <c r="J2" s="1"/>
      <c r="K2" s="1"/>
      <c r="L2" s="1"/>
    </row>
    <row r="3" spans="1:12" ht="15.75" x14ac:dyDescent="0.25">
      <c r="A3" s="137" t="s">
        <v>229</v>
      </c>
      <c r="B3" s="1"/>
      <c r="C3" s="1"/>
      <c r="D3" s="1"/>
      <c r="E3" s="1"/>
      <c r="F3" s="1"/>
      <c r="G3" s="1"/>
      <c r="H3" s="1"/>
      <c r="I3" s="1"/>
      <c r="J3" s="1"/>
      <c r="K3" s="1"/>
      <c r="L3" s="1"/>
    </row>
    <row r="4" spans="1:12" ht="15.75" x14ac:dyDescent="0.25">
      <c r="A4" s="137" t="s">
        <v>230</v>
      </c>
      <c r="B4" s="1"/>
      <c r="C4" s="1"/>
      <c r="D4" s="1"/>
      <c r="E4" s="1"/>
      <c r="F4" s="1"/>
      <c r="G4" s="1"/>
      <c r="H4" s="1"/>
      <c r="I4" s="1"/>
      <c r="J4" s="1"/>
      <c r="K4" s="1"/>
      <c r="L4" s="1"/>
    </row>
    <row r="5" spans="1:12" ht="15.75" x14ac:dyDescent="0.25">
      <c r="A5" s="137" t="s">
        <v>231</v>
      </c>
      <c r="B5" s="1"/>
      <c r="C5" s="1"/>
      <c r="D5" s="1"/>
      <c r="E5" s="1"/>
      <c r="F5" s="1"/>
      <c r="G5" s="1"/>
      <c r="H5" s="1"/>
      <c r="I5" s="1"/>
      <c r="J5" s="1"/>
      <c r="K5" s="1"/>
      <c r="L5" s="1"/>
    </row>
    <row r="6" spans="1:12" ht="16.5" thickBot="1" x14ac:dyDescent="0.3">
      <c r="A6" s="138" t="s">
        <v>232</v>
      </c>
      <c r="B6" s="1"/>
      <c r="C6" s="1"/>
      <c r="D6" s="1"/>
      <c r="E6" s="1"/>
      <c r="F6" s="1"/>
      <c r="G6" s="1"/>
      <c r="H6" s="1"/>
      <c r="I6" s="1"/>
      <c r="J6" s="1"/>
      <c r="K6" s="1"/>
      <c r="L6" s="1"/>
    </row>
    <row r="7" spans="1:12" ht="20.25" thickTop="1" x14ac:dyDescent="0.25">
      <c r="A7" s="139"/>
      <c r="B7" s="1"/>
      <c r="C7" s="1"/>
      <c r="D7" s="1"/>
      <c r="E7" s="1"/>
      <c r="F7" s="1"/>
      <c r="G7" s="1"/>
      <c r="H7" s="1"/>
      <c r="I7" s="1"/>
      <c r="J7" s="1"/>
      <c r="K7" s="1"/>
      <c r="L7" s="1"/>
    </row>
    <row r="8" spans="1:12" x14ac:dyDescent="0.25">
      <c r="A8" s="140" t="s">
        <v>233</v>
      </c>
      <c r="B8" s="1"/>
      <c r="C8" s="1"/>
      <c r="D8" s="1"/>
      <c r="E8" s="1"/>
      <c r="F8" s="1"/>
      <c r="G8" s="1"/>
      <c r="H8" s="1"/>
      <c r="I8" s="1"/>
      <c r="J8" s="1"/>
      <c r="K8" s="1"/>
      <c r="L8" s="1"/>
    </row>
    <row r="9" spans="1:12" ht="19.5" x14ac:dyDescent="0.25">
      <c r="A9" s="3"/>
      <c r="B9" s="1"/>
      <c r="C9" s="1"/>
      <c r="D9" s="1"/>
      <c r="E9" s="1"/>
      <c r="F9" s="1"/>
      <c r="G9" s="1"/>
      <c r="H9" s="1"/>
      <c r="I9" s="1"/>
      <c r="J9" s="1"/>
      <c r="K9" s="1"/>
      <c r="L9" s="1"/>
    </row>
    <row r="10" spans="1:12" ht="20.25" thickBot="1" x14ac:dyDescent="0.3">
      <c r="A10" s="3"/>
      <c r="B10" s="1"/>
      <c r="C10" s="1"/>
      <c r="D10" s="1"/>
      <c r="E10" s="1"/>
      <c r="F10" s="1"/>
      <c r="G10" s="1"/>
      <c r="H10" s="1"/>
      <c r="I10" s="1"/>
      <c r="J10" s="1"/>
      <c r="K10" s="1"/>
      <c r="L10" s="1"/>
    </row>
    <row r="11" spans="1:12" ht="52.5" thickTop="1" thickBot="1" x14ac:dyDescent="0.3">
      <c r="A11" s="4" t="s">
        <v>234</v>
      </c>
      <c r="B11" s="5" t="s">
        <v>235</v>
      </c>
      <c r="C11" s="5" t="s">
        <v>236</v>
      </c>
      <c r="D11" s="5" t="s">
        <v>237</v>
      </c>
      <c r="E11" s="5" t="s">
        <v>238</v>
      </c>
      <c r="F11" s="5" t="s">
        <v>239</v>
      </c>
      <c r="G11" s="5" t="s">
        <v>240</v>
      </c>
      <c r="H11" s="5" t="s">
        <v>241</v>
      </c>
      <c r="I11" s="5" t="s">
        <v>242</v>
      </c>
      <c r="J11" s="5" t="s">
        <v>243</v>
      </c>
      <c r="K11" s="5" t="s">
        <v>244</v>
      </c>
      <c r="L11" s="6" t="s">
        <v>245</v>
      </c>
    </row>
    <row r="12" spans="1:12" ht="22.5" x14ac:dyDescent="0.25">
      <c r="A12" s="7" t="s">
        <v>246</v>
      </c>
      <c r="B12" s="76">
        <v>90781816</v>
      </c>
      <c r="C12" s="2" t="s">
        <v>247</v>
      </c>
      <c r="D12" s="2" t="s">
        <v>307</v>
      </c>
      <c r="E12" s="8">
        <v>37837</v>
      </c>
      <c r="F12" s="2">
        <v>5.69</v>
      </c>
      <c r="G12" s="2">
        <v>5.63</v>
      </c>
      <c r="H12" s="8">
        <v>1072</v>
      </c>
      <c r="I12" s="8">
        <v>70604</v>
      </c>
      <c r="J12" s="9">
        <v>0.51</v>
      </c>
      <c r="K12" s="2">
        <v>39.07</v>
      </c>
      <c r="L12" s="10">
        <v>6439</v>
      </c>
    </row>
    <row r="13" spans="1:12" ht="22.5" x14ac:dyDescent="0.25">
      <c r="A13" s="7" t="s">
        <v>246</v>
      </c>
      <c r="B13" s="76">
        <v>110780137</v>
      </c>
      <c r="C13" s="2" t="s">
        <v>248</v>
      </c>
      <c r="D13" s="2" t="s">
        <v>307</v>
      </c>
      <c r="E13" s="8">
        <v>17071</v>
      </c>
      <c r="F13" s="2">
        <v>4.2699999999999996</v>
      </c>
      <c r="G13" s="2">
        <v>2.42</v>
      </c>
      <c r="H13" s="2">
        <v>521</v>
      </c>
      <c r="I13" s="8">
        <v>34655</v>
      </c>
      <c r="J13" s="9">
        <v>0.48499999999999999</v>
      </c>
      <c r="K13" s="2">
        <v>32.83</v>
      </c>
      <c r="L13" s="10">
        <v>3328</v>
      </c>
    </row>
    <row r="14" spans="1:12" ht="22.5" x14ac:dyDescent="0.25">
      <c r="A14" s="7" t="s">
        <v>249</v>
      </c>
      <c r="B14" s="76">
        <v>110780152</v>
      </c>
      <c r="C14" s="2" t="s">
        <v>250</v>
      </c>
      <c r="D14" s="2" t="s">
        <v>307</v>
      </c>
      <c r="E14" s="8">
        <v>26217</v>
      </c>
      <c r="F14" s="2">
        <v>5.53</v>
      </c>
      <c r="G14" s="2">
        <v>5.78</v>
      </c>
      <c r="H14" s="2">
        <v>480</v>
      </c>
      <c r="I14" s="2">
        <v>0</v>
      </c>
      <c r="J14" s="9">
        <v>0.47299999999999998</v>
      </c>
      <c r="K14" s="2">
        <v>52.93</v>
      </c>
      <c r="L14" s="11">
        <v>375</v>
      </c>
    </row>
    <row r="15" spans="1:12" x14ac:dyDescent="0.25">
      <c r="A15" s="7" t="s">
        <v>251</v>
      </c>
      <c r="B15" s="76">
        <v>110786324</v>
      </c>
      <c r="C15" s="2" t="s">
        <v>252</v>
      </c>
      <c r="D15" s="2" t="s">
        <v>307</v>
      </c>
      <c r="E15" s="8">
        <v>68064</v>
      </c>
      <c r="F15" s="2">
        <v>5.56</v>
      </c>
      <c r="G15" s="2">
        <v>5.29</v>
      </c>
      <c r="H15" s="8">
        <v>2529</v>
      </c>
      <c r="I15" s="8">
        <v>111585</v>
      </c>
      <c r="J15" s="9">
        <v>0.48299999999999998</v>
      </c>
      <c r="K15" s="2">
        <v>41.26</v>
      </c>
      <c r="L15" s="10">
        <v>8601</v>
      </c>
    </row>
    <row r="16" spans="1:12" ht="22.5" x14ac:dyDescent="0.25">
      <c r="A16" s="7" t="s">
        <v>246</v>
      </c>
      <c r="B16" s="76">
        <v>120004528</v>
      </c>
      <c r="C16" s="2" t="s">
        <v>253</v>
      </c>
      <c r="D16" s="2" t="s">
        <v>307</v>
      </c>
      <c r="E16" s="8">
        <v>12577</v>
      </c>
      <c r="F16" s="2">
        <v>5.01</v>
      </c>
      <c r="G16" s="2">
        <v>4.2300000000000004</v>
      </c>
      <c r="H16" s="2">
        <v>697</v>
      </c>
      <c r="I16" s="8">
        <v>26815</v>
      </c>
      <c r="J16" s="9">
        <v>0.495</v>
      </c>
      <c r="K16" s="2">
        <v>41.54</v>
      </c>
      <c r="L16" s="10">
        <v>1767</v>
      </c>
    </row>
    <row r="17" spans="1:12" x14ac:dyDescent="0.25">
      <c r="A17" s="7" t="s">
        <v>246</v>
      </c>
      <c r="B17" s="76">
        <v>120780044</v>
      </c>
      <c r="C17" s="2" t="s">
        <v>254</v>
      </c>
      <c r="D17" s="2" t="s">
        <v>307</v>
      </c>
      <c r="E17" s="8">
        <v>9922</v>
      </c>
      <c r="F17" s="2">
        <v>4.96</v>
      </c>
      <c r="G17" s="2">
        <v>4.87</v>
      </c>
      <c r="H17" s="2">
        <v>553</v>
      </c>
      <c r="I17" s="8">
        <v>12487</v>
      </c>
      <c r="J17" s="9">
        <v>0.59099999999999997</v>
      </c>
      <c r="K17" s="2">
        <v>11.17</v>
      </c>
      <c r="L17" s="10">
        <v>1484</v>
      </c>
    </row>
    <row r="18" spans="1:12" ht="22.5" x14ac:dyDescent="0.25">
      <c r="A18" s="7" t="s">
        <v>251</v>
      </c>
      <c r="B18" s="76">
        <v>120780283</v>
      </c>
      <c r="C18" s="2" t="s">
        <v>255</v>
      </c>
      <c r="D18" s="2" t="s">
        <v>307</v>
      </c>
      <c r="E18" s="8">
        <v>94678</v>
      </c>
      <c r="F18" s="2">
        <v>5.84</v>
      </c>
      <c r="G18" s="2">
        <v>4.01</v>
      </c>
      <c r="H18" s="8">
        <v>3722</v>
      </c>
      <c r="I18" s="8">
        <v>115736</v>
      </c>
      <c r="J18" s="9">
        <v>0.501</v>
      </c>
      <c r="K18" s="2">
        <v>52.72</v>
      </c>
      <c r="L18" s="10">
        <v>9675</v>
      </c>
    </row>
    <row r="19" spans="1:12" x14ac:dyDescent="0.25">
      <c r="A19" s="7" t="s">
        <v>251</v>
      </c>
      <c r="B19" s="85">
        <v>300002896</v>
      </c>
      <c r="C19" s="2" t="s">
        <v>91</v>
      </c>
      <c r="D19" s="2" t="s">
        <v>307</v>
      </c>
      <c r="E19" s="2">
        <v>691</v>
      </c>
      <c r="F19" s="2">
        <v>9.6</v>
      </c>
      <c r="G19" s="2">
        <v>6.24</v>
      </c>
      <c r="H19" s="2">
        <v>31</v>
      </c>
      <c r="I19" s="8">
        <v>8184</v>
      </c>
      <c r="J19" s="9">
        <v>0.67</v>
      </c>
      <c r="K19" s="2">
        <v>8.4700000000000006</v>
      </c>
      <c r="L19" s="11">
        <v>188</v>
      </c>
    </row>
    <row r="20" spans="1:12" ht="33.75" x14ac:dyDescent="0.25">
      <c r="A20" s="7" t="s">
        <v>249</v>
      </c>
      <c r="B20" s="76">
        <v>300002128</v>
      </c>
      <c r="C20" s="2" t="s">
        <v>256</v>
      </c>
      <c r="D20" s="2" t="s">
        <v>307</v>
      </c>
      <c r="E20" s="8">
        <v>15258</v>
      </c>
      <c r="F20" s="2">
        <v>4.37</v>
      </c>
      <c r="G20" s="2">
        <v>4.53</v>
      </c>
      <c r="H20" s="2">
        <v>147</v>
      </c>
      <c r="I20" s="2">
        <v>0</v>
      </c>
      <c r="J20" s="9">
        <v>0.65900000000000003</v>
      </c>
      <c r="K20" s="2">
        <v>29.76</v>
      </c>
      <c r="L20" s="11">
        <v>92</v>
      </c>
    </row>
    <row r="21" spans="1:12" x14ac:dyDescent="0.25">
      <c r="A21" s="7" t="s">
        <v>257</v>
      </c>
      <c r="B21" s="76">
        <v>300780038</v>
      </c>
      <c r="C21" s="2" t="s">
        <v>258</v>
      </c>
      <c r="D21" s="2" t="s">
        <v>307</v>
      </c>
      <c r="E21" s="8">
        <v>25861</v>
      </c>
      <c r="F21" s="2">
        <v>5.24</v>
      </c>
      <c r="G21" s="2">
        <v>4.3</v>
      </c>
      <c r="H21" s="8">
        <v>1519</v>
      </c>
      <c r="I21" s="8">
        <v>52500</v>
      </c>
      <c r="J21" s="9">
        <v>0.51600000000000001</v>
      </c>
      <c r="K21" s="2">
        <v>34.479999999999997</v>
      </c>
      <c r="L21" s="10">
        <v>6415</v>
      </c>
    </row>
    <row r="22" spans="1:12" x14ac:dyDescent="0.25">
      <c r="A22" s="7" t="s">
        <v>246</v>
      </c>
      <c r="B22" s="78">
        <v>300780046</v>
      </c>
      <c r="C22" s="2" t="s">
        <v>259</v>
      </c>
      <c r="D22" s="2" t="s">
        <v>307</v>
      </c>
      <c r="E22" s="8">
        <v>25265</v>
      </c>
      <c r="F22" s="2">
        <v>6.32</v>
      </c>
      <c r="G22" s="2">
        <v>5.28</v>
      </c>
      <c r="H22" s="8">
        <v>1064</v>
      </c>
      <c r="I22" s="8">
        <v>40428</v>
      </c>
      <c r="J22" s="9">
        <v>0.52400000000000002</v>
      </c>
      <c r="K22" s="2">
        <v>37.979999999999997</v>
      </c>
      <c r="L22" s="10">
        <v>4109</v>
      </c>
    </row>
    <row r="23" spans="1:12" ht="22.5" x14ac:dyDescent="0.25">
      <c r="A23" s="7" t="s">
        <v>246</v>
      </c>
      <c r="B23" s="76">
        <v>300780103</v>
      </c>
      <c r="C23" s="2" t="s">
        <v>260</v>
      </c>
      <c r="D23" s="2" t="s">
        <v>307</v>
      </c>
      <c r="E23" s="8">
        <v>66201</v>
      </c>
      <c r="F23" s="2">
        <v>6.59</v>
      </c>
      <c r="G23" s="2">
        <v>4.59</v>
      </c>
      <c r="H23" s="8">
        <v>2832</v>
      </c>
      <c r="I23" s="8">
        <v>108551</v>
      </c>
      <c r="J23" s="9">
        <v>0.50800000000000001</v>
      </c>
      <c r="K23" s="2">
        <v>42.24</v>
      </c>
      <c r="L23" s="10">
        <v>8534</v>
      </c>
    </row>
    <row r="24" spans="1:12" ht="22.5" x14ac:dyDescent="0.25">
      <c r="A24" s="7" t="s">
        <v>249</v>
      </c>
      <c r="B24" s="76">
        <v>300780210</v>
      </c>
      <c r="C24" s="2" t="s">
        <v>261</v>
      </c>
      <c r="D24" s="2" t="s">
        <v>307</v>
      </c>
      <c r="E24" s="8">
        <v>61381</v>
      </c>
      <c r="F24" s="2">
        <v>5.24</v>
      </c>
      <c r="G24" s="2">
        <v>3.76</v>
      </c>
      <c r="H24" s="8">
        <v>2296</v>
      </c>
      <c r="I24" s="2">
        <v>0</v>
      </c>
      <c r="J24" s="9">
        <v>0.375</v>
      </c>
      <c r="K24" s="2">
        <v>50.08</v>
      </c>
      <c r="L24" s="10">
        <v>1771</v>
      </c>
    </row>
    <row r="25" spans="1:12" ht="33.75" x14ac:dyDescent="0.25">
      <c r="A25" s="7" t="s">
        <v>249</v>
      </c>
      <c r="B25" s="76">
        <v>300780244</v>
      </c>
      <c r="C25" s="2" t="s">
        <v>262</v>
      </c>
      <c r="D25" s="2" t="s">
        <v>307</v>
      </c>
      <c r="E25" s="8">
        <v>23298</v>
      </c>
      <c r="F25" s="2">
        <v>5.51</v>
      </c>
      <c r="G25" s="2">
        <v>5.25</v>
      </c>
      <c r="H25" s="2">
        <v>617</v>
      </c>
      <c r="I25" s="2">
        <v>0</v>
      </c>
      <c r="J25" s="9">
        <v>0.379</v>
      </c>
      <c r="K25" s="2">
        <v>46.6</v>
      </c>
      <c r="L25" s="11">
        <v>420</v>
      </c>
    </row>
    <row r="26" spans="1:12" ht="56.25" x14ac:dyDescent="0.25">
      <c r="A26" s="7" t="s">
        <v>249</v>
      </c>
      <c r="B26" s="76">
        <v>300780251</v>
      </c>
      <c r="C26" s="2" t="s">
        <v>263</v>
      </c>
      <c r="D26" s="2" t="s">
        <v>307</v>
      </c>
      <c r="E26" s="8">
        <v>65171</v>
      </c>
      <c r="F26" s="2">
        <v>7.05</v>
      </c>
      <c r="G26" s="2">
        <v>4.1100000000000003</v>
      </c>
      <c r="H26" s="8">
        <v>1002</v>
      </c>
      <c r="I26" s="2">
        <v>0</v>
      </c>
      <c r="J26" s="9">
        <v>0.56299999999999994</v>
      </c>
      <c r="K26" s="2">
        <v>53.48</v>
      </c>
      <c r="L26" s="11">
        <v>649</v>
      </c>
    </row>
    <row r="27" spans="1:12" ht="22.5" x14ac:dyDescent="0.25">
      <c r="A27" s="7" t="s">
        <v>249</v>
      </c>
      <c r="B27" s="76">
        <v>300780269</v>
      </c>
      <c r="C27" s="2" t="s">
        <v>264</v>
      </c>
      <c r="D27" s="2" t="s">
        <v>307</v>
      </c>
      <c r="E27" s="8">
        <v>35421</v>
      </c>
      <c r="F27" s="2">
        <v>4.6500000000000004</v>
      </c>
      <c r="G27" s="2">
        <v>4.78</v>
      </c>
      <c r="H27" s="8">
        <v>1268</v>
      </c>
      <c r="I27" s="2">
        <v>0</v>
      </c>
      <c r="J27" s="9">
        <v>0.33</v>
      </c>
      <c r="K27" s="2">
        <v>53.97</v>
      </c>
      <c r="L27" s="11">
        <v>760</v>
      </c>
    </row>
    <row r="28" spans="1:12" ht="45" x14ac:dyDescent="0.25">
      <c r="A28" s="7" t="s">
        <v>251</v>
      </c>
      <c r="B28" s="76">
        <v>300780384</v>
      </c>
      <c r="C28" s="2" t="s">
        <v>265</v>
      </c>
      <c r="D28" s="2" t="s">
        <v>307</v>
      </c>
      <c r="E28" s="8">
        <v>1664</v>
      </c>
      <c r="F28" s="2">
        <v>10.58</v>
      </c>
      <c r="G28" s="2">
        <v>5.55</v>
      </c>
      <c r="H28" s="2">
        <v>36</v>
      </c>
      <c r="I28" s="8">
        <v>4965</v>
      </c>
      <c r="J28" s="9">
        <v>0.73299999999999998</v>
      </c>
      <c r="K28" s="2">
        <v>7.42</v>
      </c>
      <c r="L28" s="11">
        <v>369</v>
      </c>
    </row>
    <row r="29" spans="1:12" ht="33.75" x14ac:dyDescent="0.25">
      <c r="A29" s="7" t="s">
        <v>251</v>
      </c>
      <c r="B29" s="76">
        <v>300780764</v>
      </c>
      <c r="C29" s="2" t="s">
        <v>266</v>
      </c>
      <c r="D29" s="2" t="s">
        <v>307</v>
      </c>
      <c r="E29" s="8">
        <v>9344</v>
      </c>
      <c r="F29" s="2">
        <v>5.52</v>
      </c>
      <c r="G29" s="2">
        <v>3.4</v>
      </c>
      <c r="H29" s="2">
        <v>252</v>
      </c>
      <c r="I29" s="2">
        <v>0</v>
      </c>
      <c r="J29" s="9">
        <v>0.59699999999999998</v>
      </c>
      <c r="K29" s="2">
        <v>39.21</v>
      </c>
      <c r="L29" s="11">
        <v>183</v>
      </c>
    </row>
    <row r="30" spans="1:12" ht="33.75" x14ac:dyDescent="0.25">
      <c r="A30" s="7" t="s">
        <v>249</v>
      </c>
      <c r="B30" s="76">
        <v>300781424</v>
      </c>
      <c r="C30" s="2" t="s">
        <v>267</v>
      </c>
      <c r="D30" s="2" t="s">
        <v>307</v>
      </c>
      <c r="E30" s="8">
        <v>26264</v>
      </c>
      <c r="F30" s="2">
        <v>4.5999999999999996</v>
      </c>
      <c r="G30" s="2">
        <v>3.18</v>
      </c>
      <c r="H30" s="2">
        <v>731</v>
      </c>
      <c r="I30" s="2">
        <v>0</v>
      </c>
      <c r="J30" s="9">
        <v>0.52100000000000002</v>
      </c>
      <c r="K30" s="2">
        <v>51.9</v>
      </c>
      <c r="L30" s="11">
        <v>512</v>
      </c>
    </row>
    <row r="31" spans="1:12" ht="22.5" x14ac:dyDescent="0.25">
      <c r="A31" s="7" t="s">
        <v>249</v>
      </c>
      <c r="B31" s="76">
        <v>310780119</v>
      </c>
      <c r="C31" s="2" t="s">
        <v>268</v>
      </c>
      <c r="D31" s="2" t="s">
        <v>307</v>
      </c>
      <c r="E31" s="8">
        <v>46377</v>
      </c>
      <c r="F31" s="2">
        <v>6.81</v>
      </c>
      <c r="G31" s="2">
        <v>6.95</v>
      </c>
      <c r="H31" s="8">
        <v>1456</v>
      </c>
      <c r="I31" s="2">
        <v>0</v>
      </c>
      <c r="J31" s="9">
        <v>0.46899999999999997</v>
      </c>
      <c r="K31" s="2">
        <v>48.86</v>
      </c>
      <c r="L31" s="10">
        <v>1004</v>
      </c>
    </row>
    <row r="32" spans="1:12" ht="33.75" x14ac:dyDescent="0.25">
      <c r="A32" s="7" t="s">
        <v>249</v>
      </c>
      <c r="B32" s="76">
        <v>310780143</v>
      </c>
      <c r="C32" s="2" t="s">
        <v>269</v>
      </c>
      <c r="D32" s="2" t="s">
        <v>307</v>
      </c>
      <c r="E32" s="8">
        <v>49135</v>
      </c>
      <c r="F32" s="2">
        <v>9.23</v>
      </c>
      <c r="G32" s="2">
        <v>6.42</v>
      </c>
      <c r="H32" s="8">
        <v>1546</v>
      </c>
      <c r="I32" s="2">
        <v>0</v>
      </c>
      <c r="J32" s="9">
        <v>0.38300000000000001</v>
      </c>
      <c r="K32" s="2">
        <v>56.8</v>
      </c>
      <c r="L32" s="10">
        <v>1106</v>
      </c>
    </row>
    <row r="33" spans="1:12" ht="33.75" x14ac:dyDescent="0.25">
      <c r="A33" s="7" t="s">
        <v>249</v>
      </c>
      <c r="B33" s="76">
        <v>310780358</v>
      </c>
      <c r="C33" s="2" t="s">
        <v>270</v>
      </c>
      <c r="D33" s="2" t="s">
        <v>307</v>
      </c>
      <c r="E33" s="8">
        <v>38885</v>
      </c>
      <c r="F33" s="2">
        <v>5.17</v>
      </c>
      <c r="G33" s="2">
        <v>3.6</v>
      </c>
      <c r="H33" s="8">
        <v>1450</v>
      </c>
      <c r="I33" s="2">
        <v>0</v>
      </c>
      <c r="J33" s="9">
        <v>0.41499999999999998</v>
      </c>
      <c r="K33" s="2">
        <v>50.41</v>
      </c>
      <c r="L33" s="11">
        <v>753</v>
      </c>
    </row>
    <row r="34" spans="1:12" ht="22.5" x14ac:dyDescent="0.25">
      <c r="A34" s="7" t="s">
        <v>249</v>
      </c>
      <c r="B34" s="76">
        <v>310780390</v>
      </c>
      <c r="C34" s="2" t="s">
        <v>271</v>
      </c>
      <c r="D34" s="2" t="s">
        <v>307</v>
      </c>
      <c r="E34" s="8">
        <v>58561</v>
      </c>
      <c r="F34" s="2">
        <v>8.75</v>
      </c>
      <c r="G34" s="2">
        <v>7.12</v>
      </c>
      <c r="H34" s="8">
        <v>1593</v>
      </c>
      <c r="I34" s="2">
        <v>0</v>
      </c>
      <c r="J34" s="9">
        <v>0.46</v>
      </c>
      <c r="K34" s="2">
        <v>48.13</v>
      </c>
      <c r="L34" s="10">
        <v>1056</v>
      </c>
    </row>
    <row r="35" spans="1:12" ht="22.5" x14ac:dyDescent="0.25">
      <c r="A35" s="7" t="s">
        <v>246</v>
      </c>
      <c r="B35" s="76">
        <v>310780754</v>
      </c>
      <c r="C35" s="2" t="s">
        <v>272</v>
      </c>
      <c r="D35" s="2" t="s">
        <v>307</v>
      </c>
      <c r="E35" s="8">
        <v>129594</v>
      </c>
      <c r="F35" s="2">
        <v>6.75</v>
      </c>
      <c r="G35" s="2">
        <v>4.9400000000000004</v>
      </c>
      <c r="H35" s="8">
        <v>4895</v>
      </c>
      <c r="I35" s="8">
        <v>234110</v>
      </c>
      <c r="J35" s="9">
        <v>0.63300000000000001</v>
      </c>
      <c r="K35" s="2">
        <v>38.89</v>
      </c>
      <c r="L35" s="10">
        <v>12473</v>
      </c>
    </row>
    <row r="36" spans="1:12" ht="45" x14ac:dyDescent="0.25">
      <c r="A36" s="7" t="s">
        <v>251</v>
      </c>
      <c r="B36" s="78">
        <v>310780895</v>
      </c>
      <c r="C36" s="2" t="s">
        <v>273</v>
      </c>
      <c r="D36" s="2" t="s">
        <v>307</v>
      </c>
      <c r="E36" s="8">
        <v>7011</v>
      </c>
      <c r="F36" s="12"/>
      <c r="G36" s="12"/>
      <c r="H36" s="2">
        <v>180</v>
      </c>
      <c r="I36" s="8">
        <v>57341</v>
      </c>
      <c r="J36" s="9">
        <v>0.67</v>
      </c>
      <c r="K36" s="2">
        <v>10.38</v>
      </c>
      <c r="L36" s="10">
        <v>4147</v>
      </c>
    </row>
    <row r="37" spans="1:12" ht="22.5" x14ac:dyDescent="0.25">
      <c r="A37" s="7" t="s">
        <v>249</v>
      </c>
      <c r="B37" s="76">
        <v>310781000</v>
      </c>
      <c r="C37" s="2" t="s">
        <v>274</v>
      </c>
      <c r="D37" s="2" t="s">
        <v>307</v>
      </c>
      <c r="E37" s="8">
        <v>49922</v>
      </c>
      <c r="F37" s="2">
        <v>4.87</v>
      </c>
      <c r="G37" s="2">
        <v>4.46</v>
      </c>
      <c r="H37" s="8">
        <v>1973</v>
      </c>
      <c r="I37" s="2">
        <v>0</v>
      </c>
      <c r="J37" s="9">
        <v>0.42399999999999999</v>
      </c>
      <c r="K37" s="2">
        <v>51.19</v>
      </c>
      <c r="L37" s="10">
        <v>1334</v>
      </c>
    </row>
    <row r="38" spans="1:12" ht="22.5" x14ac:dyDescent="0.25">
      <c r="A38" s="7" t="s">
        <v>249</v>
      </c>
      <c r="B38" s="76">
        <v>310781133</v>
      </c>
      <c r="C38" s="2" t="s">
        <v>275</v>
      </c>
      <c r="D38" s="2" t="s">
        <v>307</v>
      </c>
      <c r="E38" s="8">
        <v>61018</v>
      </c>
      <c r="F38" s="2">
        <v>6.67</v>
      </c>
      <c r="G38" s="2">
        <v>5.24</v>
      </c>
      <c r="H38" s="8">
        <v>2124</v>
      </c>
      <c r="I38" s="2">
        <v>0</v>
      </c>
      <c r="J38" s="9">
        <v>0.35599999999999998</v>
      </c>
      <c r="K38" s="2">
        <v>47.85</v>
      </c>
      <c r="L38" s="10">
        <v>1345</v>
      </c>
    </row>
    <row r="39" spans="1:12" ht="45" x14ac:dyDescent="0.25">
      <c r="A39" s="7" t="s">
        <v>249</v>
      </c>
      <c r="B39" s="76">
        <v>310781141</v>
      </c>
      <c r="C39" s="2" t="s">
        <v>276</v>
      </c>
      <c r="D39" s="2" t="s">
        <v>307</v>
      </c>
      <c r="E39" s="8">
        <v>57384</v>
      </c>
      <c r="F39" s="2">
        <v>5.95</v>
      </c>
      <c r="G39" s="2">
        <v>6.03</v>
      </c>
      <c r="H39" s="8">
        <v>1717</v>
      </c>
      <c r="I39" s="2">
        <v>0</v>
      </c>
      <c r="J39" s="9">
        <v>0.41299999999999998</v>
      </c>
      <c r="K39" s="2">
        <v>43.11</v>
      </c>
      <c r="L39" s="10">
        <v>1226</v>
      </c>
    </row>
    <row r="40" spans="1:12" ht="22.5" x14ac:dyDescent="0.25">
      <c r="A40" s="7" t="s">
        <v>249</v>
      </c>
      <c r="B40" s="76">
        <v>310781158</v>
      </c>
      <c r="C40" s="2" t="s">
        <v>277</v>
      </c>
      <c r="D40" s="2" t="s">
        <v>307</v>
      </c>
      <c r="E40" s="8">
        <v>50392</v>
      </c>
      <c r="F40" s="2">
        <v>6.32</v>
      </c>
      <c r="G40" s="2">
        <v>5.22</v>
      </c>
      <c r="H40" s="8">
        <v>1549</v>
      </c>
      <c r="I40" s="2">
        <v>0</v>
      </c>
      <c r="J40" s="9">
        <v>0.36099999999999999</v>
      </c>
      <c r="K40" s="2">
        <v>41.18</v>
      </c>
      <c r="L40" s="10">
        <v>1081</v>
      </c>
    </row>
    <row r="41" spans="1:12" ht="22.5" x14ac:dyDescent="0.25">
      <c r="A41" s="7" t="s">
        <v>257</v>
      </c>
      <c r="B41" s="76">
        <v>310781406</v>
      </c>
      <c r="C41" s="2" t="s">
        <v>278</v>
      </c>
      <c r="D41" s="2" t="s">
        <v>307</v>
      </c>
      <c r="E41" s="8">
        <v>46140</v>
      </c>
      <c r="F41" s="2">
        <v>5.87</v>
      </c>
      <c r="G41" s="2">
        <v>5.71</v>
      </c>
      <c r="H41" s="8">
        <v>2315</v>
      </c>
      <c r="I41" s="8">
        <v>93123</v>
      </c>
      <c r="J41" s="9">
        <v>0.45</v>
      </c>
      <c r="K41" s="2">
        <v>28.6</v>
      </c>
      <c r="L41" s="10">
        <v>12643</v>
      </c>
    </row>
    <row r="42" spans="1:12" ht="33.75" x14ac:dyDescent="0.25">
      <c r="A42" s="7" t="s">
        <v>251</v>
      </c>
      <c r="B42" s="76">
        <v>310781430</v>
      </c>
      <c r="C42" s="2" t="s">
        <v>279</v>
      </c>
      <c r="D42" s="2" t="s">
        <v>307</v>
      </c>
      <c r="E42" s="8">
        <v>11794</v>
      </c>
      <c r="F42" s="2">
        <v>4.5999999999999996</v>
      </c>
      <c r="G42" s="2">
        <v>6.86</v>
      </c>
      <c r="H42" s="2">
        <v>781</v>
      </c>
      <c r="I42" s="2">
        <v>0</v>
      </c>
      <c r="J42" s="9">
        <v>0.66300000000000003</v>
      </c>
      <c r="K42" s="2">
        <v>31.14</v>
      </c>
      <c r="L42" s="11">
        <v>113</v>
      </c>
    </row>
    <row r="43" spans="1:12" ht="56.25" x14ac:dyDescent="0.25">
      <c r="A43" s="7" t="s">
        <v>251</v>
      </c>
      <c r="B43" s="76">
        <v>310783097</v>
      </c>
      <c r="C43" s="2" t="s">
        <v>280</v>
      </c>
      <c r="D43" s="2" t="s">
        <v>307</v>
      </c>
      <c r="E43" s="8">
        <v>12964</v>
      </c>
      <c r="F43" s="12"/>
      <c r="G43" s="12"/>
      <c r="H43" s="2">
        <v>200</v>
      </c>
      <c r="I43" s="2">
        <v>0</v>
      </c>
      <c r="J43" s="9">
        <v>0.4</v>
      </c>
      <c r="K43" s="2">
        <v>50.69</v>
      </c>
      <c r="L43" s="11">
        <v>194</v>
      </c>
    </row>
    <row r="44" spans="1:12" ht="33.75" x14ac:dyDescent="0.25">
      <c r="A44" s="7" t="s">
        <v>251</v>
      </c>
      <c r="B44" s="76">
        <v>310795463</v>
      </c>
      <c r="C44" s="2" t="s">
        <v>281</v>
      </c>
      <c r="D44" s="2" t="s">
        <v>307</v>
      </c>
      <c r="E44" s="8">
        <v>7882</v>
      </c>
      <c r="F44" s="2">
        <v>5.0199999999999996</v>
      </c>
      <c r="G44" s="2">
        <v>3.97</v>
      </c>
      <c r="H44" s="2">
        <v>138</v>
      </c>
      <c r="I44" s="2">
        <v>0</v>
      </c>
      <c r="J44" s="9">
        <v>0.68700000000000006</v>
      </c>
      <c r="K44" s="2">
        <v>32.26</v>
      </c>
      <c r="L44" s="11">
        <v>70</v>
      </c>
    </row>
    <row r="45" spans="1:12" ht="33.75" x14ac:dyDescent="0.25">
      <c r="A45" s="7" t="s">
        <v>249</v>
      </c>
      <c r="B45" s="76">
        <v>320780109</v>
      </c>
      <c r="C45" s="2" t="s">
        <v>282</v>
      </c>
      <c r="D45" s="2" t="s">
        <v>307</v>
      </c>
      <c r="E45" s="8">
        <v>30504</v>
      </c>
      <c r="F45" s="2">
        <v>4.87</v>
      </c>
      <c r="G45" s="2">
        <v>3.06</v>
      </c>
      <c r="H45" s="2">
        <v>926</v>
      </c>
      <c r="I45" s="2">
        <v>0</v>
      </c>
      <c r="J45" s="9">
        <v>0.39900000000000002</v>
      </c>
      <c r="K45" s="2">
        <v>54.08</v>
      </c>
      <c r="L45" s="11">
        <v>528</v>
      </c>
    </row>
    <row r="46" spans="1:12" x14ac:dyDescent="0.25">
      <c r="A46" s="7" t="s">
        <v>246</v>
      </c>
      <c r="B46" s="76">
        <v>320780125</v>
      </c>
      <c r="C46" s="2" t="s">
        <v>283</v>
      </c>
      <c r="D46" s="2" t="s">
        <v>307</v>
      </c>
      <c r="E46" s="8">
        <v>40722</v>
      </c>
      <c r="F46" s="2">
        <v>6.16</v>
      </c>
      <c r="G46" s="2">
        <v>4.79</v>
      </c>
      <c r="H46" s="8">
        <v>1412</v>
      </c>
      <c r="I46" s="8">
        <v>61078</v>
      </c>
      <c r="J46" s="9">
        <v>0.48599999999999999</v>
      </c>
      <c r="K46" s="2">
        <v>46.59</v>
      </c>
      <c r="L46" s="10">
        <v>5373</v>
      </c>
    </row>
    <row r="47" spans="1:12" ht="45" x14ac:dyDescent="0.25">
      <c r="A47" s="7" t="s">
        <v>249</v>
      </c>
      <c r="B47" s="76">
        <v>340010149</v>
      </c>
      <c r="C47" s="2" t="s">
        <v>284</v>
      </c>
      <c r="D47" s="2" t="s">
        <v>307</v>
      </c>
      <c r="E47" s="8">
        <v>26981</v>
      </c>
      <c r="F47" s="2">
        <v>5.69</v>
      </c>
      <c r="G47" s="2">
        <v>6.82</v>
      </c>
      <c r="H47" s="2">
        <v>415</v>
      </c>
      <c r="I47" s="2">
        <v>0</v>
      </c>
      <c r="J47" s="9">
        <v>0.67200000000000004</v>
      </c>
      <c r="K47" s="2">
        <v>38.81</v>
      </c>
      <c r="L47" s="11">
        <v>254</v>
      </c>
    </row>
    <row r="48" spans="1:12" ht="45" x14ac:dyDescent="0.25">
      <c r="A48" s="7" t="s">
        <v>246</v>
      </c>
      <c r="B48" s="76">
        <v>340011295</v>
      </c>
      <c r="C48" s="2" t="s">
        <v>285</v>
      </c>
      <c r="D48" s="2" t="s">
        <v>307</v>
      </c>
      <c r="E48" s="8">
        <v>8560</v>
      </c>
      <c r="F48" s="2">
        <v>5.62</v>
      </c>
      <c r="G48" s="2">
        <v>6.38</v>
      </c>
      <c r="H48" s="8">
        <v>5208</v>
      </c>
      <c r="I48" s="8">
        <v>36581</v>
      </c>
      <c r="J48" s="9">
        <v>0.52500000000000002</v>
      </c>
      <c r="K48" s="2">
        <v>41.03</v>
      </c>
      <c r="L48" s="10">
        <v>3021</v>
      </c>
    </row>
    <row r="49" spans="1:12" x14ac:dyDescent="0.25">
      <c r="A49" s="7" t="s">
        <v>246</v>
      </c>
      <c r="B49" s="76">
        <v>340780055</v>
      </c>
      <c r="C49" s="2" t="s">
        <v>159</v>
      </c>
      <c r="D49" s="2" t="s">
        <v>307</v>
      </c>
      <c r="E49" s="8">
        <v>55752</v>
      </c>
      <c r="F49" s="2">
        <v>4.5199999999999996</v>
      </c>
      <c r="G49" s="2">
        <v>4.55</v>
      </c>
      <c r="H49" s="8">
        <v>1987</v>
      </c>
      <c r="I49" s="8">
        <v>71980</v>
      </c>
      <c r="J49" s="9">
        <v>0.54100000000000004</v>
      </c>
      <c r="K49" s="2">
        <v>39.71</v>
      </c>
      <c r="L49" s="10">
        <v>9464</v>
      </c>
    </row>
    <row r="50" spans="1:12" ht="22.5" x14ac:dyDescent="0.25">
      <c r="A50" s="7" t="s">
        <v>249</v>
      </c>
      <c r="B50" s="76">
        <v>340780121</v>
      </c>
      <c r="C50" s="2" t="s">
        <v>286</v>
      </c>
      <c r="D50" s="2" t="s">
        <v>307</v>
      </c>
      <c r="E50" s="8">
        <v>44977</v>
      </c>
      <c r="F50" s="2">
        <v>4.8</v>
      </c>
      <c r="G50" s="2">
        <v>5.87</v>
      </c>
      <c r="H50" s="8">
        <v>1099</v>
      </c>
      <c r="I50" s="2">
        <v>0</v>
      </c>
      <c r="J50" s="9">
        <v>0.372</v>
      </c>
      <c r="K50" s="2">
        <v>52.12</v>
      </c>
      <c r="L50" s="11">
        <v>782</v>
      </c>
    </row>
    <row r="51" spans="1:12" ht="33.75" x14ac:dyDescent="0.25">
      <c r="A51" s="7" t="s">
        <v>257</v>
      </c>
      <c r="B51" s="76">
        <v>340780477</v>
      </c>
      <c r="C51" s="2" t="s">
        <v>287</v>
      </c>
      <c r="D51" s="2" t="s">
        <v>307</v>
      </c>
      <c r="E51" s="8">
        <v>106279</v>
      </c>
      <c r="F51" s="2">
        <v>5.42</v>
      </c>
      <c r="G51" s="2">
        <v>4.66</v>
      </c>
      <c r="H51" s="8">
        <v>5633</v>
      </c>
      <c r="I51" s="8">
        <v>266306</v>
      </c>
      <c r="J51" s="9">
        <v>0.57599999999999996</v>
      </c>
      <c r="K51" s="2">
        <v>37.049999999999997</v>
      </c>
      <c r="L51" s="10">
        <v>25446</v>
      </c>
    </row>
    <row r="52" spans="1:12" ht="22.5" x14ac:dyDescent="0.25">
      <c r="A52" s="7" t="s">
        <v>249</v>
      </c>
      <c r="B52" s="76">
        <v>340780758</v>
      </c>
      <c r="C52" s="2" t="s">
        <v>288</v>
      </c>
      <c r="D52" s="2" t="s">
        <v>307</v>
      </c>
      <c r="E52" s="8">
        <v>68095</v>
      </c>
      <c r="F52" s="2">
        <v>7.33</v>
      </c>
      <c r="G52" s="2">
        <v>5.36</v>
      </c>
      <c r="H52" s="8">
        <v>1260</v>
      </c>
      <c r="I52" s="2">
        <v>0</v>
      </c>
      <c r="J52" s="9">
        <v>0.51800000000000002</v>
      </c>
      <c r="K52" s="2">
        <v>51.2</v>
      </c>
      <c r="L52" s="11">
        <v>735</v>
      </c>
    </row>
    <row r="53" spans="1:12" ht="22.5" x14ac:dyDescent="0.25">
      <c r="A53" s="7" t="s">
        <v>249</v>
      </c>
      <c r="B53" s="76">
        <v>340780766</v>
      </c>
      <c r="C53" s="2" t="s">
        <v>289</v>
      </c>
      <c r="D53" s="2" t="s">
        <v>307</v>
      </c>
      <c r="E53" s="8">
        <v>40585</v>
      </c>
      <c r="F53" s="2">
        <v>6.39</v>
      </c>
      <c r="G53" s="2">
        <v>6.08</v>
      </c>
      <c r="H53" s="8">
        <v>1013</v>
      </c>
      <c r="I53" s="2">
        <v>0</v>
      </c>
      <c r="J53" s="9">
        <v>0.27600000000000002</v>
      </c>
      <c r="K53" s="2">
        <v>41.85</v>
      </c>
      <c r="L53" s="11">
        <v>727</v>
      </c>
    </row>
    <row r="54" spans="1:12" ht="22.5" x14ac:dyDescent="0.25">
      <c r="A54" s="7" t="s">
        <v>249</v>
      </c>
      <c r="B54" s="76">
        <v>340780782</v>
      </c>
      <c r="C54" s="2" t="s">
        <v>290</v>
      </c>
      <c r="D54" s="2" t="s">
        <v>307</v>
      </c>
      <c r="E54" s="8">
        <v>53006</v>
      </c>
      <c r="F54" s="2">
        <v>5.54</v>
      </c>
      <c r="G54" s="2">
        <v>5.45</v>
      </c>
      <c r="H54" s="8">
        <v>1131</v>
      </c>
      <c r="I54" s="2">
        <v>0</v>
      </c>
      <c r="J54" s="9">
        <v>0.36799999999999999</v>
      </c>
      <c r="K54" s="2">
        <v>44.99</v>
      </c>
      <c r="L54" s="11">
        <v>766</v>
      </c>
    </row>
    <row r="55" spans="1:12" ht="33.75" x14ac:dyDescent="0.25">
      <c r="A55" s="7" t="s">
        <v>249</v>
      </c>
      <c r="B55" s="76">
        <v>340780790</v>
      </c>
      <c r="C55" s="2" t="s">
        <v>291</v>
      </c>
      <c r="D55" s="2" t="s">
        <v>307</v>
      </c>
      <c r="E55" s="8">
        <v>27363</v>
      </c>
      <c r="F55" s="2">
        <v>8.98</v>
      </c>
      <c r="G55" s="2">
        <v>5.13</v>
      </c>
      <c r="H55" s="2">
        <v>565</v>
      </c>
      <c r="I55" s="2">
        <v>0</v>
      </c>
      <c r="J55" s="9">
        <v>0.26100000000000001</v>
      </c>
      <c r="K55" s="2">
        <v>75.17</v>
      </c>
      <c r="L55" s="11">
        <v>476</v>
      </c>
    </row>
    <row r="56" spans="1:12" ht="33.75" x14ac:dyDescent="0.25">
      <c r="A56" s="7" t="s">
        <v>249</v>
      </c>
      <c r="B56" s="76">
        <v>340780931</v>
      </c>
      <c r="C56" s="2" t="s">
        <v>292</v>
      </c>
      <c r="D56" s="2" t="s">
        <v>307</v>
      </c>
      <c r="E56" s="8">
        <v>33514</v>
      </c>
      <c r="F56" s="2">
        <v>4.42</v>
      </c>
      <c r="G56" s="2">
        <v>7.6</v>
      </c>
      <c r="H56" s="2">
        <v>486</v>
      </c>
      <c r="I56" s="2">
        <v>0</v>
      </c>
      <c r="J56" s="9">
        <v>0.54300000000000004</v>
      </c>
      <c r="K56" s="2">
        <v>30.14</v>
      </c>
      <c r="L56" s="11">
        <v>252</v>
      </c>
    </row>
    <row r="57" spans="1:12" ht="22.5" x14ac:dyDescent="0.25">
      <c r="A57" s="7" t="s">
        <v>251</v>
      </c>
      <c r="B57" s="76">
        <v>460780554</v>
      </c>
      <c r="C57" s="2" t="s">
        <v>293</v>
      </c>
      <c r="D57" s="2" t="s">
        <v>307</v>
      </c>
      <c r="E57" s="8">
        <v>49980</v>
      </c>
      <c r="F57" s="2">
        <v>6.27</v>
      </c>
      <c r="G57" s="2">
        <v>5.22</v>
      </c>
      <c r="H57" s="8">
        <v>2658</v>
      </c>
      <c r="I57" s="8">
        <v>80125</v>
      </c>
      <c r="J57" s="9">
        <v>0.499</v>
      </c>
      <c r="K57" s="2">
        <v>42.9</v>
      </c>
      <c r="L57" s="10">
        <v>8158</v>
      </c>
    </row>
    <row r="58" spans="1:12" ht="33.75" x14ac:dyDescent="0.25">
      <c r="A58" s="7" t="s">
        <v>246</v>
      </c>
      <c r="B58" s="76">
        <v>480780147</v>
      </c>
      <c r="C58" s="2" t="s">
        <v>294</v>
      </c>
      <c r="D58" s="2" t="s">
        <v>307</v>
      </c>
      <c r="E58" s="8">
        <v>27607</v>
      </c>
      <c r="F58" s="2">
        <v>6.54</v>
      </c>
      <c r="G58" s="2">
        <v>4.5999999999999996</v>
      </c>
      <c r="H58" s="8">
        <v>1689</v>
      </c>
      <c r="I58" s="8">
        <v>44025</v>
      </c>
      <c r="J58" s="9">
        <v>0.505</v>
      </c>
      <c r="K58" s="2">
        <v>41.94</v>
      </c>
      <c r="L58" s="10">
        <v>4262</v>
      </c>
    </row>
    <row r="59" spans="1:12" ht="22.5" x14ac:dyDescent="0.25">
      <c r="A59" s="7" t="s">
        <v>246</v>
      </c>
      <c r="B59" s="76">
        <v>650780174</v>
      </c>
      <c r="C59" s="2" t="s">
        <v>199</v>
      </c>
      <c r="D59" s="2" t="s">
        <v>307</v>
      </c>
      <c r="E59" s="8">
        <v>87239</v>
      </c>
      <c r="F59" s="2">
        <v>6.68</v>
      </c>
      <c r="G59" s="2">
        <v>5.37</v>
      </c>
      <c r="H59" s="8">
        <v>14725</v>
      </c>
      <c r="I59" s="8">
        <v>153897</v>
      </c>
      <c r="J59" s="9">
        <v>0.52900000000000003</v>
      </c>
      <c r="K59" s="2">
        <v>42.79</v>
      </c>
      <c r="L59" s="10">
        <v>11034</v>
      </c>
    </row>
    <row r="60" spans="1:12" ht="33.75" x14ac:dyDescent="0.25">
      <c r="A60" s="7" t="s">
        <v>249</v>
      </c>
      <c r="B60" s="76">
        <v>650780729</v>
      </c>
      <c r="C60" s="2" t="s">
        <v>295</v>
      </c>
      <c r="D60" s="2" t="s">
        <v>307</v>
      </c>
      <c r="E60" s="8">
        <v>13967</v>
      </c>
      <c r="F60" s="2">
        <v>4.63</v>
      </c>
      <c r="G60" s="2">
        <v>3.75</v>
      </c>
      <c r="H60" s="2">
        <v>591</v>
      </c>
      <c r="I60" s="2">
        <v>0</v>
      </c>
      <c r="J60" s="9">
        <v>0.436</v>
      </c>
      <c r="K60" s="2">
        <v>50.69</v>
      </c>
      <c r="L60" s="11">
        <v>469</v>
      </c>
    </row>
    <row r="61" spans="1:12" ht="33.75" x14ac:dyDescent="0.25">
      <c r="A61" s="7" t="s">
        <v>249</v>
      </c>
      <c r="B61" s="76">
        <v>650780737</v>
      </c>
      <c r="C61" s="2" t="s">
        <v>296</v>
      </c>
      <c r="D61" s="2" t="s">
        <v>307</v>
      </c>
      <c r="E61" s="8">
        <v>13147</v>
      </c>
      <c r="F61" s="2">
        <v>5.46</v>
      </c>
      <c r="G61" s="2">
        <v>4.22</v>
      </c>
      <c r="H61" s="2">
        <v>373</v>
      </c>
      <c r="I61" s="2">
        <v>0</v>
      </c>
      <c r="J61" s="9">
        <v>0.45400000000000001</v>
      </c>
      <c r="K61" s="2">
        <v>52.46</v>
      </c>
      <c r="L61" s="11">
        <v>286</v>
      </c>
    </row>
    <row r="62" spans="1:12" x14ac:dyDescent="0.25">
      <c r="A62" s="7" t="s">
        <v>246</v>
      </c>
      <c r="B62" s="76">
        <v>660780198</v>
      </c>
      <c r="C62" s="2" t="s">
        <v>297</v>
      </c>
      <c r="D62" s="2" t="s">
        <v>307</v>
      </c>
      <c r="E62" s="8">
        <v>93972</v>
      </c>
      <c r="F62" s="2">
        <v>5.67</v>
      </c>
      <c r="G62" s="2">
        <v>4.55</v>
      </c>
      <c r="H62" s="8">
        <v>3948</v>
      </c>
      <c r="I62" s="8">
        <v>169166</v>
      </c>
      <c r="J62" s="9">
        <v>0.57299999999999995</v>
      </c>
      <c r="K62" s="2">
        <v>40.07</v>
      </c>
      <c r="L62" s="10">
        <v>16981</v>
      </c>
    </row>
    <row r="63" spans="1:12" ht="33.75" x14ac:dyDescent="0.25">
      <c r="A63" s="7" t="s">
        <v>249</v>
      </c>
      <c r="B63" s="76">
        <v>660780214</v>
      </c>
      <c r="C63" s="2" t="s">
        <v>298</v>
      </c>
      <c r="D63" s="2" t="s">
        <v>307</v>
      </c>
      <c r="E63" s="8">
        <v>21204</v>
      </c>
      <c r="F63" s="2">
        <v>5.52</v>
      </c>
      <c r="G63" s="2">
        <v>4.22</v>
      </c>
      <c r="H63" s="2">
        <v>319</v>
      </c>
      <c r="I63" s="2">
        <v>0</v>
      </c>
      <c r="J63" s="9">
        <v>0.66</v>
      </c>
      <c r="K63" s="2">
        <v>45.27</v>
      </c>
      <c r="L63" s="11">
        <v>220</v>
      </c>
    </row>
    <row r="64" spans="1:12" ht="22.5" x14ac:dyDescent="0.25">
      <c r="A64" s="7" t="s">
        <v>249</v>
      </c>
      <c r="B64" s="76">
        <v>660780248</v>
      </c>
      <c r="C64" s="2" t="s">
        <v>299</v>
      </c>
      <c r="D64" s="2" t="s">
        <v>307</v>
      </c>
      <c r="E64" s="8">
        <v>50125</v>
      </c>
      <c r="F64" s="2">
        <v>5.58</v>
      </c>
      <c r="G64" s="2">
        <v>4.6399999999999997</v>
      </c>
      <c r="H64" s="8">
        <v>2004</v>
      </c>
      <c r="I64" s="2">
        <v>0</v>
      </c>
      <c r="J64" s="9">
        <v>0.42299999999999999</v>
      </c>
      <c r="K64" s="2">
        <v>51.65</v>
      </c>
      <c r="L64" s="10">
        <v>1317</v>
      </c>
    </row>
    <row r="65" spans="1:12" ht="22.5" x14ac:dyDescent="0.25">
      <c r="A65" s="7" t="s">
        <v>249</v>
      </c>
      <c r="B65" s="76">
        <v>660780735</v>
      </c>
      <c r="C65" s="2" t="s">
        <v>300</v>
      </c>
      <c r="D65" s="2" t="s">
        <v>307</v>
      </c>
      <c r="E65" s="8">
        <v>36009</v>
      </c>
      <c r="F65" s="2">
        <v>5.79</v>
      </c>
      <c r="G65" s="2">
        <v>5.27</v>
      </c>
      <c r="H65" s="2">
        <v>818</v>
      </c>
      <c r="I65" s="2">
        <v>0</v>
      </c>
      <c r="J65" s="9">
        <v>0.48599999999999999</v>
      </c>
      <c r="K65" s="2">
        <v>53.74</v>
      </c>
      <c r="L65" s="11">
        <v>660</v>
      </c>
    </row>
    <row r="66" spans="1:12" x14ac:dyDescent="0.25">
      <c r="A66" s="7" t="s">
        <v>246</v>
      </c>
      <c r="B66" s="76">
        <v>810000455</v>
      </c>
      <c r="C66" s="2" t="s">
        <v>301</v>
      </c>
      <c r="D66" s="2" t="s">
        <v>307</v>
      </c>
      <c r="E66" s="8">
        <v>48375</v>
      </c>
      <c r="F66" s="2">
        <v>6.27</v>
      </c>
      <c r="G66" s="2">
        <v>4.3899999999999997</v>
      </c>
      <c r="H66" s="8">
        <v>2528</v>
      </c>
      <c r="I66" s="8">
        <v>54941</v>
      </c>
      <c r="J66" s="9">
        <v>0.51300000000000001</v>
      </c>
      <c r="K66" s="2">
        <v>37.5</v>
      </c>
      <c r="L66" s="10">
        <v>5468</v>
      </c>
    </row>
    <row r="67" spans="1:12" ht="22.5" x14ac:dyDescent="0.25">
      <c r="A67" s="7" t="s">
        <v>251</v>
      </c>
      <c r="B67" s="76">
        <v>810100008</v>
      </c>
      <c r="C67" s="2" t="s">
        <v>302</v>
      </c>
      <c r="D67" s="2" t="s">
        <v>307</v>
      </c>
      <c r="E67" s="8">
        <v>85433</v>
      </c>
      <c r="F67" s="2">
        <v>5.8</v>
      </c>
      <c r="G67" s="2">
        <v>4.41</v>
      </c>
      <c r="H67" s="8">
        <v>2780</v>
      </c>
      <c r="I67" s="8">
        <v>128436</v>
      </c>
      <c r="J67" s="9">
        <v>0.505</v>
      </c>
      <c r="K67" s="2">
        <v>44.91</v>
      </c>
      <c r="L67" s="10">
        <v>11152</v>
      </c>
    </row>
    <row r="68" spans="1:12" ht="22.5" x14ac:dyDescent="0.25">
      <c r="A68" s="7" t="s">
        <v>246</v>
      </c>
      <c r="B68" s="76">
        <v>820000016</v>
      </c>
      <c r="C68" s="2" t="s">
        <v>220</v>
      </c>
      <c r="D68" s="2" t="s">
        <v>307</v>
      </c>
      <c r="E68" s="8">
        <v>58928</v>
      </c>
      <c r="F68" s="2">
        <v>6.28</v>
      </c>
      <c r="G68" s="2">
        <v>5.17</v>
      </c>
      <c r="H68" s="8">
        <v>1402</v>
      </c>
      <c r="I68" s="8">
        <v>95340</v>
      </c>
      <c r="J68" s="9">
        <v>0.48399999999999999</v>
      </c>
      <c r="K68" s="2">
        <v>42.61</v>
      </c>
      <c r="L68" s="10">
        <v>8910</v>
      </c>
    </row>
    <row r="69" spans="1:12" ht="45.75" thickBot="1" x14ac:dyDescent="0.3">
      <c r="A69" s="7" t="s">
        <v>251</v>
      </c>
      <c r="B69" s="76">
        <v>820003911</v>
      </c>
      <c r="C69" s="2" t="s">
        <v>303</v>
      </c>
      <c r="D69" s="2" t="s">
        <v>307</v>
      </c>
      <c r="E69" s="8">
        <v>8871</v>
      </c>
      <c r="F69" s="2">
        <v>5.88</v>
      </c>
      <c r="G69" s="2">
        <v>4.58</v>
      </c>
      <c r="H69" s="2">
        <v>127</v>
      </c>
      <c r="I69" s="2">
        <v>152</v>
      </c>
      <c r="J69" s="9">
        <v>0.63400000000000001</v>
      </c>
      <c r="K69" s="2">
        <v>40.049999999999997</v>
      </c>
      <c r="L69" s="11">
        <v>54</v>
      </c>
    </row>
    <row r="70" spans="1:12" ht="15.75" thickBot="1" x14ac:dyDescent="0.3">
      <c r="A70" s="13"/>
      <c r="B70" s="14"/>
      <c r="C70" s="14" t="s">
        <v>304</v>
      </c>
      <c r="D70" s="14"/>
      <c r="E70" s="15">
        <v>2380426</v>
      </c>
      <c r="F70" s="14">
        <v>6.06</v>
      </c>
      <c r="G70" s="14">
        <v>5.04</v>
      </c>
      <c r="H70" s="15">
        <v>98383</v>
      </c>
      <c r="I70" s="15">
        <v>2133111</v>
      </c>
      <c r="J70" s="16">
        <v>0.51100000000000001</v>
      </c>
      <c r="K70" s="14">
        <v>42.09</v>
      </c>
      <c r="L70" s="17"/>
    </row>
    <row r="71" spans="1:12" ht="15.75" thickTop="1" x14ac:dyDescent="0.25">
      <c r="A71" s="1"/>
      <c r="B71" s="1"/>
      <c r="C71" s="1"/>
      <c r="D71" s="1"/>
      <c r="E71" s="1"/>
      <c r="F71" s="1"/>
      <c r="G71" s="1"/>
      <c r="H71" s="1"/>
      <c r="I71" s="1"/>
      <c r="J71" s="1"/>
      <c r="K71" s="1"/>
      <c r="L71" s="1"/>
    </row>
    <row r="72" spans="1:12" x14ac:dyDescent="0.25">
      <c r="A72" s="1"/>
      <c r="B72" s="1"/>
      <c r="C72" s="1"/>
      <c r="D72" s="1"/>
      <c r="E72" s="134"/>
      <c r="F72" s="134"/>
      <c r="G72" s="134"/>
      <c r="H72" s="134"/>
      <c r="I72" s="134"/>
      <c r="J72" s="134"/>
      <c r="K72" s="134"/>
      <c r="L72" s="1"/>
    </row>
    <row r="73" spans="1:12" x14ac:dyDescent="0.25">
      <c r="A73" s="135" t="s">
        <v>305</v>
      </c>
      <c r="B73" s="1"/>
      <c r="C73" s="1"/>
      <c r="D73" s="1"/>
      <c r="E73" s="1"/>
      <c r="F73" s="1"/>
      <c r="G73" s="1"/>
      <c r="H73" s="1"/>
      <c r="I73" s="1"/>
      <c r="J73" s="1"/>
      <c r="K73" s="1"/>
      <c r="L73" s="1"/>
    </row>
  </sheetData>
  <autoFilter ref="A11:L70" xr:uid="{2E6FC68C-CA67-45FD-B1DC-32BA1F3072E2}"/>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A037C-64BD-4C71-A49A-45C7D0E10EC0}">
  <sheetPr codeName="Feuil3"/>
  <dimension ref="A1:AI71"/>
  <sheetViews>
    <sheetView workbookViewId="0">
      <selection activeCell="D8" sqref="D8"/>
    </sheetView>
  </sheetViews>
  <sheetFormatPr baseColWidth="10" defaultRowHeight="15" x14ac:dyDescent="0.25"/>
  <sheetData>
    <row r="1" spans="1:35" x14ac:dyDescent="0.25">
      <c r="A1" s="18"/>
      <c r="B1" s="18"/>
      <c r="C1" s="18"/>
      <c r="D1" s="18"/>
      <c r="E1" s="18"/>
      <c r="F1" s="18"/>
      <c r="G1" s="18"/>
      <c r="H1" s="18"/>
      <c r="I1" s="18"/>
      <c r="J1" s="18"/>
      <c r="K1" s="18" t="s">
        <v>308</v>
      </c>
      <c r="L1" s="18"/>
      <c r="M1" s="18"/>
      <c r="N1" s="18"/>
      <c r="O1" s="18"/>
      <c r="P1" s="18"/>
      <c r="Q1" s="18"/>
      <c r="R1" s="18"/>
      <c r="S1" s="18" t="s">
        <v>308</v>
      </c>
      <c r="T1" s="18"/>
      <c r="U1" s="18"/>
      <c r="V1" s="18"/>
      <c r="W1" s="18"/>
      <c r="X1" s="18"/>
      <c r="Y1" s="18"/>
      <c r="Z1" s="18"/>
      <c r="AA1" s="18"/>
      <c r="AB1" s="18"/>
      <c r="AC1" s="18"/>
      <c r="AD1" s="18"/>
      <c r="AE1" s="18"/>
      <c r="AF1" s="18"/>
      <c r="AG1" s="18"/>
      <c r="AH1" s="18"/>
      <c r="AI1" s="18"/>
    </row>
    <row r="2" spans="1:35" x14ac:dyDescent="0.25">
      <c r="A2" s="18"/>
      <c r="B2" s="18"/>
      <c r="C2" s="18"/>
      <c r="D2" s="19" t="s">
        <v>309</v>
      </c>
      <c r="E2" s="20"/>
      <c r="F2" s="18"/>
      <c r="G2" s="21" t="s">
        <v>310</v>
      </c>
      <c r="H2" s="22">
        <v>696472400</v>
      </c>
      <c r="I2" s="18"/>
      <c r="J2" s="23" t="s">
        <v>311</v>
      </c>
      <c r="K2" s="24">
        <v>696636800</v>
      </c>
      <c r="L2" s="18"/>
      <c r="M2" s="18"/>
      <c r="N2" s="18"/>
      <c r="O2" s="21" t="s">
        <v>312</v>
      </c>
      <c r="P2" s="22">
        <v>729343200</v>
      </c>
      <c r="Q2" s="18"/>
      <c r="R2" s="23" t="s">
        <v>313</v>
      </c>
      <c r="S2" s="24">
        <v>729343200</v>
      </c>
      <c r="T2" s="18"/>
      <c r="U2" s="25"/>
      <c r="V2" s="18"/>
      <c r="W2" s="18"/>
      <c r="X2" s="18"/>
      <c r="Y2" s="18"/>
      <c r="Z2" s="18"/>
      <c r="AA2" s="18"/>
      <c r="AB2" s="18"/>
      <c r="AC2" s="18"/>
      <c r="AD2" s="18"/>
      <c r="AE2" s="18"/>
      <c r="AF2" s="18"/>
      <c r="AG2" s="18"/>
      <c r="AH2" s="18"/>
      <c r="AI2" s="18"/>
    </row>
    <row r="3" spans="1:35" x14ac:dyDescent="0.25">
      <c r="A3" s="18"/>
      <c r="B3" s="18"/>
      <c r="C3" s="18"/>
      <c r="D3" s="19" t="s">
        <v>314</v>
      </c>
      <c r="E3" s="26"/>
      <c r="F3" s="18"/>
      <c r="G3" s="21" t="s">
        <v>314</v>
      </c>
      <c r="H3" s="27">
        <f>+H2-G6</f>
        <v>11846993</v>
      </c>
      <c r="I3" s="18"/>
      <c r="J3" s="23" t="s">
        <v>314</v>
      </c>
      <c r="K3" s="24">
        <f>+(K2-J6)</f>
        <v>1331526</v>
      </c>
      <c r="L3" s="18"/>
      <c r="M3" s="225" t="s">
        <v>315</v>
      </c>
      <c r="N3" s="18"/>
      <c r="O3" s="21" t="s">
        <v>314</v>
      </c>
      <c r="P3" s="27">
        <f>+P2-O6</f>
        <v>14919644</v>
      </c>
      <c r="Q3" s="18"/>
      <c r="R3" s="28" t="s">
        <v>314</v>
      </c>
      <c r="S3" s="24">
        <f>+(S2-R6)</f>
        <v>1.4899998903274536</v>
      </c>
      <c r="T3" s="18"/>
      <c r="U3" s="226" t="s">
        <v>316</v>
      </c>
      <c r="V3" s="18"/>
      <c r="W3" s="18"/>
      <c r="X3" s="18"/>
      <c r="Y3" s="18"/>
      <c r="Z3" s="18"/>
      <c r="AA3" s="18"/>
      <c r="AB3" s="18"/>
      <c r="AC3" s="18"/>
      <c r="AD3" s="29" t="s">
        <v>317</v>
      </c>
      <c r="AE3" s="30">
        <f>+(S2-K2)/K2</f>
        <v>4.6948998387682073E-2</v>
      </c>
      <c r="AF3" s="18"/>
      <c r="AG3" s="18"/>
      <c r="AH3" s="18"/>
      <c r="AI3" s="18"/>
    </row>
    <row r="4" spans="1:35" x14ac:dyDescent="0.25">
      <c r="A4" s="18"/>
      <c r="B4" s="18"/>
      <c r="C4" s="18"/>
      <c r="D4" s="18"/>
      <c r="E4" s="31"/>
      <c r="F4" s="18"/>
      <c r="G4" s="32"/>
      <c r="H4" s="33">
        <f>+H3/H2</f>
        <v>1.7009996376022941E-2</v>
      </c>
      <c r="I4" s="18"/>
      <c r="J4" s="18"/>
      <c r="K4" s="34">
        <f>+K3/K2</f>
        <v>1.9113632814114902E-3</v>
      </c>
      <c r="L4" s="18"/>
      <c r="M4" s="225"/>
      <c r="N4" s="18"/>
      <c r="O4" s="32"/>
      <c r="P4" s="33">
        <f>+P3/P2</f>
        <v>2.045627353487357E-2</v>
      </c>
      <c r="Q4" s="18"/>
      <c r="R4" s="18"/>
      <c r="S4" s="34">
        <f>+S3/S2</f>
        <v>2.0429338209055127E-9</v>
      </c>
      <c r="T4" s="18"/>
      <c r="U4" s="226"/>
      <c r="V4" s="18"/>
      <c r="W4" s="18"/>
      <c r="X4" s="18"/>
      <c r="Y4" s="18"/>
      <c r="Z4" s="18"/>
      <c r="AA4" s="18"/>
      <c r="AB4" s="18"/>
      <c r="AC4" s="18"/>
      <c r="AD4" s="18"/>
      <c r="AE4" s="18"/>
      <c r="AF4" s="18"/>
      <c r="AG4" s="18"/>
      <c r="AH4" s="18"/>
      <c r="AI4" s="18"/>
    </row>
    <row r="5" spans="1:35" x14ac:dyDescent="0.25">
      <c r="A5" s="18"/>
      <c r="B5" s="18"/>
      <c r="C5" s="18"/>
      <c r="D5" s="18"/>
      <c r="E5" s="18"/>
      <c r="F5" s="18"/>
      <c r="G5" s="18"/>
      <c r="H5" s="18"/>
      <c r="I5" s="18"/>
      <c r="J5" s="18"/>
      <c r="K5" s="18"/>
      <c r="L5" s="18"/>
      <c r="M5" s="225"/>
      <c r="N5" s="18"/>
      <c r="O5" s="32"/>
      <c r="P5" s="35"/>
      <c r="Q5" s="18"/>
      <c r="R5" s="18"/>
      <c r="S5" s="18"/>
      <c r="T5" s="18"/>
      <c r="U5" s="226"/>
      <c r="V5" s="18"/>
      <c r="W5" s="227" t="s">
        <v>318</v>
      </c>
      <c r="X5" s="228"/>
      <c r="Y5" s="228"/>
      <c r="Z5" s="228"/>
      <c r="AA5" s="228"/>
      <c r="AB5" s="18"/>
      <c r="AC5" s="229" t="s">
        <v>319</v>
      </c>
      <c r="AD5" s="229"/>
      <c r="AE5" s="18"/>
      <c r="AF5" s="18"/>
      <c r="AG5" s="18"/>
      <c r="AH5" s="18"/>
      <c r="AI5" s="18"/>
    </row>
    <row r="6" spans="1:35" x14ac:dyDescent="0.25">
      <c r="A6" s="18"/>
      <c r="B6" s="18"/>
      <c r="C6" s="18"/>
      <c r="D6" s="36" t="s">
        <v>320</v>
      </c>
      <c r="E6" s="37">
        <f>+SUM(E8:E67)</f>
        <v>974079893.98000002</v>
      </c>
      <c r="F6" s="18"/>
      <c r="G6" s="38">
        <f>+SUM(G8:G67)</f>
        <v>684625407</v>
      </c>
      <c r="H6" s="38">
        <f>+SUM(H8:H67)</f>
        <v>243102860</v>
      </c>
      <c r="I6" s="18"/>
      <c r="J6" s="37">
        <f>+SUM(J8:J67)</f>
        <v>695305274</v>
      </c>
      <c r="K6" s="37">
        <f>+SUM(K8:K67)</f>
        <v>255965529.84999999</v>
      </c>
      <c r="L6" s="39"/>
      <c r="M6" s="39"/>
      <c r="N6" s="39"/>
      <c r="O6" s="38">
        <f t="shared" ref="O6:P6" si="0">+SUM(O8:O67)</f>
        <v>714423556</v>
      </c>
      <c r="P6" s="38">
        <f t="shared" si="0"/>
        <v>255965692.56</v>
      </c>
      <c r="Q6" s="18"/>
      <c r="R6" s="38">
        <f t="shared" ref="R6:S6" si="1">+SUM(R8:R67)</f>
        <v>729343198.51000011</v>
      </c>
      <c r="S6" s="38">
        <f t="shared" si="1"/>
        <v>268148307</v>
      </c>
      <c r="T6" s="18"/>
      <c r="U6" s="40">
        <f>+SUM(U8:U67)</f>
        <v>729343176</v>
      </c>
      <c r="V6" s="18"/>
      <c r="W6" s="18"/>
      <c r="X6" s="18"/>
      <c r="Y6" s="18"/>
      <c r="Z6" s="18"/>
      <c r="AA6" s="18"/>
      <c r="AB6" s="18"/>
      <c r="AC6" s="18"/>
      <c r="AD6" s="18"/>
      <c r="AE6" s="18"/>
      <c r="AF6" s="18"/>
      <c r="AG6" s="18"/>
      <c r="AH6" s="230" t="s">
        <v>321</v>
      </c>
      <c r="AI6" s="230"/>
    </row>
    <row r="7" spans="1:35" ht="39" x14ac:dyDescent="0.25">
      <c r="A7" s="41" t="s">
        <v>322</v>
      </c>
      <c r="B7" s="42" t="s">
        <v>323</v>
      </c>
      <c r="C7" s="42" t="s">
        <v>324</v>
      </c>
      <c r="D7" s="43" t="s">
        <v>325</v>
      </c>
      <c r="E7" s="44" t="s">
        <v>326</v>
      </c>
      <c r="F7" s="18"/>
      <c r="G7" s="45" t="s">
        <v>327</v>
      </c>
      <c r="H7" s="45" t="s">
        <v>328</v>
      </c>
      <c r="I7" s="18"/>
      <c r="J7" s="46" t="s">
        <v>327</v>
      </c>
      <c r="K7" s="46" t="s">
        <v>328</v>
      </c>
      <c r="L7" s="47" t="s">
        <v>329</v>
      </c>
      <c r="M7" s="48" t="s">
        <v>330</v>
      </c>
      <c r="N7" s="18"/>
      <c r="O7" s="45" t="s">
        <v>327</v>
      </c>
      <c r="P7" s="45" t="s">
        <v>328</v>
      </c>
      <c r="Q7" s="18"/>
      <c r="R7" s="46" t="s">
        <v>327</v>
      </c>
      <c r="S7" s="45" t="s">
        <v>328</v>
      </c>
      <c r="T7" s="47" t="s">
        <v>329</v>
      </c>
      <c r="U7" s="48" t="s">
        <v>331</v>
      </c>
      <c r="V7" s="18"/>
      <c r="W7" s="49" t="s">
        <v>332</v>
      </c>
      <c r="X7" s="49" t="s">
        <v>333</v>
      </c>
      <c r="Y7" s="49" t="s">
        <v>334</v>
      </c>
      <c r="Z7" s="49" t="s">
        <v>335</v>
      </c>
      <c r="AA7" s="49" t="s">
        <v>336</v>
      </c>
      <c r="AB7" s="18"/>
      <c r="AC7" s="50" t="s">
        <v>337</v>
      </c>
      <c r="AD7" s="50" t="s">
        <v>338</v>
      </c>
      <c r="AE7" s="51" t="s">
        <v>339</v>
      </c>
      <c r="AF7" s="18"/>
      <c r="AG7" s="52" t="s">
        <v>340</v>
      </c>
      <c r="AH7" s="51" t="s">
        <v>341</v>
      </c>
      <c r="AI7" s="50" t="s">
        <v>338</v>
      </c>
    </row>
    <row r="8" spans="1:35" ht="25.5" x14ac:dyDescent="0.25">
      <c r="A8" s="53">
        <v>90000183</v>
      </c>
      <c r="B8" s="54">
        <v>90781816</v>
      </c>
      <c r="C8" s="55" t="s">
        <v>247</v>
      </c>
      <c r="D8" s="56" t="s">
        <v>342</v>
      </c>
      <c r="E8" s="57">
        <f>+VLOOKUP(A8,[1]Feuil1!$H$5:$O$64,6,FALSE)</f>
        <v>25891876</v>
      </c>
      <c r="F8" s="57"/>
      <c r="G8" s="58">
        <v>21545238</v>
      </c>
      <c r="H8" s="58">
        <v>3837386</v>
      </c>
      <c r="I8" s="57"/>
      <c r="J8" s="58">
        <f>+VLOOKUP(A8,[1]Feuil1!$H$5:$S$64,8,FALSE)</f>
        <v>22049256</v>
      </c>
      <c r="K8" s="58">
        <v>3837386</v>
      </c>
      <c r="L8" s="59">
        <f t="shared" ref="L8:L67" si="2">+J8/(J8+K8)</f>
        <v>0.85176192416150387</v>
      </c>
      <c r="M8" s="18"/>
      <c r="N8" s="18"/>
      <c r="O8" s="58">
        <v>22437707</v>
      </c>
      <c r="P8" s="58">
        <v>3837386</v>
      </c>
      <c r="Q8" s="57"/>
      <c r="R8" s="58">
        <v>22874718.91</v>
      </c>
      <c r="S8" s="58">
        <v>4150043</v>
      </c>
      <c r="T8" s="59">
        <f t="shared" ref="T8:T22" si="3">+R8/(R8+S8)</f>
        <v>0.84643553886540046</v>
      </c>
      <c r="U8" s="60">
        <v>22874718</v>
      </c>
      <c r="V8" s="18"/>
      <c r="W8" s="57"/>
      <c r="X8" s="57">
        <f>+U8-G8</f>
        <v>1329480</v>
      </c>
      <c r="Y8" s="57">
        <f>+U8-J8</f>
        <v>825462</v>
      </c>
      <c r="Z8" s="57">
        <f>+U8-O8</f>
        <v>437011</v>
      </c>
      <c r="AA8" s="57">
        <f>+U8-R8</f>
        <v>-0.91000000014901161</v>
      </c>
      <c r="AB8" s="18"/>
      <c r="AC8" s="61">
        <f>+U8-O8</f>
        <v>437011</v>
      </c>
      <c r="AD8" s="62">
        <f>+AC8/O8</f>
        <v>1.9476633686320976E-2</v>
      </c>
      <c r="AE8" s="63">
        <f>+(U8-J8)/J8</f>
        <v>3.7437181553881003E-2</v>
      </c>
      <c r="AF8" s="18"/>
      <c r="AG8" s="57">
        <v>22753619</v>
      </c>
      <c r="AH8" s="57">
        <f>+U8-AG8</f>
        <v>121099</v>
      </c>
      <c r="AI8" s="59">
        <f>+(AG8-O8)/O8</f>
        <v>1.4079513561702183E-2</v>
      </c>
    </row>
    <row r="9" spans="1:35" ht="38.25" x14ac:dyDescent="0.25">
      <c r="A9" s="64">
        <v>110000056</v>
      </c>
      <c r="B9" s="65">
        <v>110780137</v>
      </c>
      <c r="C9" s="55" t="s">
        <v>343</v>
      </c>
      <c r="D9" s="56" t="s">
        <v>342</v>
      </c>
      <c r="E9" s="57">
        <f>+VLOOKUP(A9,[1]Feuil1!$H$5:$O$64,6,FALSE)</f>
        <v>9631454</v>
      </c>
      <c r="F9" s="57"/>
      <c r="G9" s="58">
        <v>7812760</v>
      </c>
      <c r="H9" s="58">
        <v>1702258</v>
      </c>
      <c r="I9" s="57"/>
      <c r="J9" s="58">
        <f>+VLOOKUP(A9,[1]Feuil1!$H$5:$S$64,8,FALSE)</f>
        <v>7892769</v>
      </c>
      <c r="K9" s="58">
        <v>1768811</v>
      </c>
      <c r="L9" s="59">
        <f t="shared" si="2"/>
        <v>0.81692321545751312</v>
      </c>
      <c r="M9" s="18"/>
      <c r="N9" s="18"/>
      <c r="O9" s="58">
        <v>8072314</v>
      </c>
      <c r="P9" s="58">
        <v>1768811</v>
      </c>
      <c r="Q9" s="57"/>
      <c r="R9" s="58">
        <v>8184775</v>
      </c>
      <c r="S9" s="58">
        <v>1779269</v>
      </c>
      <c r="T9" s="59">
        <f t="shared" si="3"/>
        <v>0.82143103743821289</v>
      </c>
      <c r="U9" s="60">
        <v>8184775</v>
      </c>
      <c r="V9" s="18"/>
      <c r="W9" s="57"/>
      <c r="X9" s="57">
        <f t="shared" ref="X9:X67" si="4">+U9-G9</f>
        <v>372015</v>
      </c>
      <c r="Y9" s="57">
        <f t="shared" ref="Y9:Y67" si="5">+U9-J9</f>
        <v>292006</v>
      </c>
      <c r="Z9" s="57">
        <f t="shared" ref="Z9:Z67" si="6">+U9-O9</f>
        <v>112461</v>
      </c>
      <c r="AA9" s="57">
        <f t="shared" ref="AA9:AA67" si="7">+U9-R9</f>
        <v>0</v>
      </c>
      <c r="AB9" s="18"/>
      <c r="AC9" s="61">
        <f t="shared" ref="AC9:AC67" si="8">+U9-O9</f>
        <v>112461</v>
      </c>
      <c r="AD9" s="63">
        <f t="shared" ref="AD9:AD67" si="9">+AC9/O9</f>
        <v>1.3931692944550968E-2</v>
      </c>
      <c r="AE9" s="63">
        <f t="shared" ref="AE9:AE67" si="10">+(U9-J9)/J9</f>
        <v>3.6996648451259627E-2</v>
      </c>
      <c r="AF9" s="18"/>
      <c r="AG9" s="57"/>
      <c r="AH9" s="18"/>
      <c r="AI9" s="18"/>
    </row>
    <row r="10" spans="1:35" ht="25.5" x14ac:dyDescent="0.25">
      <c r="A10" s="64">
        <v>110780152</v>
      </c>
      <c r="B10" s="65">
        <v>110780152</v>
      </c>
      <c r="C10" s="55" t="s">
        <v>250</v>
      </c>
      <c r="D10" s="56" t="s">
        <v>344</v>
      </c>
      <c r="E10" s="57">
        <f>+VLOOKUP(A10,[1]Feuil1!$H$5:$O$64,6,FALSE)</f>
        <v>3120217</v>
      </c>
      <c r="F10" s="57"/>
      <c r="G10" s="58">
        <v>432359</v>
      </c>
      <c r="H10" s="58">
        <v>2653712</v>
      </c>
      <c r="I10" s="57"/>
      <c r="J10" s="58">
        <f>+VLOOKUP(A10,[1]Feuil1!$H$5:$S$64,8,FALSE)</f>
        <v>437299</v>
      </c>
      <c r="K10" s="58">
        <v>2679859.9500000002</v>
      </c>
      <c r="L10" s="59">
        <f t="shared" si="2"/>
        <v>0.1402876808704285</v>
      </c>
      <c r="M10" s="18"/>
      <c r="N10" s="18"/>
      <c r="O10" s="58">
        <v>446812</v>
      </c>
      <c r="P10" s="58">
        <v>2679859</v>
      </c>
      <c r="Q10" s="57"/>
      <c r="R10" s="58">
        <v>452803.26</v>
      </c>
      <c r="S10" s="58">
        <v>2712729</v>
      </c>
      <c r="T10" s="59">
        <f t="shared" si="3"/>
        <v>0.14304174552939164</v>
      </c>
      <c r="U10" s="60">
        <v>452803</v>
      </c>
      <c r="V10" s="18"/>
      <c r="W10" s="57"/>
      <c r="X10" s="57">
        <f t="shared" si="4"/>
        <v>20444</v>
      </c>
      <c r="Y10" s="57">
        <f t="shared" si="5"/>
        <v>15504</v>
      </c>
      <c r="Z10" s="57">
        <f t="shared" si="6"/>
        <v>5991</v>
      </c>
      <c r="AA10" s="57">
        <f t="shared" si="7"/>
        <v>-0.26000000000931323</v>
      </c>
      <c r="AB10" s="18"/>
      <c r="AC10" s="61">
        <f t="shared" si="8"/>
        <v>5991</v>
      </c>
      <c r="AD10" s="63">
        <f t="shared" si="9"/>
        <v>1.3408323858804151E-2</v>
      </c>
      <c r="AE10" s="63">
        <f t="shared" si="10"/>
        <v>3.5454002867603175E-2</v>
      </c>
      <c r="AF10" s="18"/>
      <c r="AG10" s="57"/>
      <c r="AH10" s="18"/>
      <c r="AI10" s="18"/>
    </row>
    <row r="11" spans="1:35" x14ac:dyDescent="0.25">
      <c r="A11" s="64">
        <v>110785516</v>
      </c>
      <c r="B11" s="65">
        <v>110786324</v>
      </c>
      <c r="C11" s="55" t="s">
        <v>345</v>
      </c>
      <c r="D11" s="56" t="s">
        <v>346</v>
      </c>
      <c r="E11" s="57">
        <f>+VLOOKUP(A11,[1]Feuil1!$H$5:$O$64,6,FALSE)</f>
        <v>37940422</v>
      </c>
      <c r="F11" s="57"/>
      <c r="G11" s="58">
        <v>31754024</v>
      </c>
      <c r="H11" s="58">
        <v>5652528</v>
      </c>
      <c r="I11" s="57"/>
      <c r="J11" s="58">
        <f>+VLOOKUP(A11,[1]Feuil1!$H$5:$S$64,8,FALSE)</f>
        <v>32289746</v>
      </c>
      <c r="K11" s="58">
        <v>6034342.4800000004</v>
      </c>
      <c r="L11" s="59">
        <f t="shared" si="2"/>
        <v>0.84254439650536983</v>
      </c>
      <c r="M11" s="18"/>
      <c r="N11" s="18"/>
      <c r="O11" s="58">
        <v>33174945</v>
      </c>
      <c r="P11" s="58">
        <v>6034342</v>
      </c>
      <c r="Q11" s="57"/>
      <c r="R11" s="58">
        <v>33610573.350000001</v>
      </c>
      <c r="S11" s="58">
        <v>6588096</v>
      </c>
      <c r="T11" s="59">
        <f t="shared" si="3"/>
        <v>0.83611159009670055</v>
      </c>
      <c r="U11" s="60">
        <v>33610573</v>
      </c>
      <c r="V11" s="18"/>
      <c r="W11" s="57"/>
      <c r="X11" s="57">
        <f t="shared" si="4"/>
        <v>1856549</v>
      </c>
      <c r="Y11" s="57">
        <f t="shared" si="5"/>
        <v>1320827</v>
      </c>
      <c r="Z11" s="57">
        <f t="shared" si="6"/>
        <v>435628</v>
      </c>
      <c r="AA11" s="57">
        <f t="shared" si="7"/>
        <v>-0.35000000149011612</v>
      </c>
      <c r="AB11" s="18"/>
      <c r="AC11" s="61">
        <f t="shared" si="8"/>
        <v>435628</v>
      </c>
      <c r="AD11" s="63">
        <f t="shared" si="9"/>
        <v>1.3131235032944289E-2</v>
      </c>
      <c r="AE11" s="63">
        <f t="shared" si="10"/>
        <v>4.090546268155841E-2</v>
      </c>
      <c r="AF11" s="18"/>
      <c r="AG11" s="57"/>
      <c r="AH11" s="18"/>
      <c r="AI11" s="18"/>
    </row>
    <row r="12" spans="1:35" ht="38.25" x14ac:dyDescent="0.25">
      <c r="A12" s="64">
        <v>120004569</v>
      </c>
      <c r="B12" s="65">
        <v>120004528</v>
      </c>
      <c r="C12" s="55" t="s">
        <v>347</v>
      </c>
      <c r="D12" s="56" t="s">
        <v>342</v>
      </c>
      <c r="E12" s="57">
        <f>+VLOOKUP(A12,[1]Feuil1!$H$5:$O$64,6,FALSE)</f>
        <v>8592617</v>
      </c>
      <c r="F12" s="57"/>
      <c r="G12" s="58">
        <v>6970740</v>
      </c>
      <c r="H12" s="58">
        <v>1356309</v>
      </c>
      <c r="I12" s="57"/>
      <c r="J12" s="58">
        <f>+VLOOKUP(A12,[1]Feuil1!$H$5:$S$64,8,FALSE)</f>
        <v>7041789</v>
      </c>
      <c r="K12" s="58">
        <v>1356309</v>
      </c>
      <c r="L12" s="59">
        <f t="shared" si="2"/>
        <v>0.83849807420680256</v>
      </c>
      <c r="M12" s="18"/>
      <c r="N12" s="18"/>
      <c r="O12" s="58">
        <v>7192377</v>
      </c>
      <c r="P12" s="58">
        <v>1356309</v>
      </c>
      <c r="Q12" s="57"/>
      <c r="R12" s="58">
        <v>7288848.7300000004</v>
      </c>
      <c r="S12" s="58">
        <v>1407694</v>
      </c>
      <c r="T12" s="59">
        <f t="shared" si="3"/>
        <v>0.83813176756506313</v>
      </c>
      <c r="U12" s="60">
        <v>7288848</v>
      </c>
      <c r="V12" s="18"/>
      <c r="W12" s="57"/>
      <c r="X12" s="57">
        <f t="shared" si="4"/>
        <v>318108</v>
      </c>
      <c r="Y12" s="57">
        <f t="shared" si="5"/>
        <v>247059</v>
      </c>
      <c r="Z12" s="57">
        <f t="shared" si="6"/>
        <v>96471</v>
      </c>
      <c r="AA12" s="57">
        <f t="shared" si="7"/>
        <v>-0.73000000044703484</v>
      </c>
      <c r="AB12" s="18"/>
      <c r="AC12" s="61">
        <f t="shared" si="8"/>
        <v>96471</v>
      </c>
      <c r="AD12" s="63">
        <f t="shared" si="9"/>
        <v>1.3412950961830839E-2</v>
      </c>
      <c r="AE12" s="63">
        <f t="shared" si="10"/>
        <v>3.5084692256470623E-2</v>
      </c>
      <c r="AF12" s="18"/>
      <c r="AG12" s="57"/>
      <c r="AH12" s="18"/>
      <c r="AI12" s="18"/>
    </row>
    <row r="13" spans="1:35" ht="51" x14ac:dyDescent="0.25">
      <c r="A13" s="64">
        <v>120000039</v>
      </c>
      <c r="B13" s="65">
        <v>120780044</v>
      </c>
      <c r="C13" s="55" t="s">
        <v>348</v>
      </c>
      <c r="D13" s="56" t="s">
        <v>342</v>
      </c>
      <c r="E13" s="57">
        <f>+VLOOKUP(A13,[1]Feuil1!$H$5:$O$64,6,FALSE)</f>
        <v>4988237</v>
      </c>
      <c r="F13" s="57"/>
      <c r="G13" s="58">
        <v>4196058</v>
      </c>
      <c r="H13" s="58">
        <v>727009</v>
      </c>
      <c r="I13" s="57"/>
      <c r="J13" s="58">
        <f>+VLOOKUP(A13,[1]Feuil1!$H$5:$S$64,8,FALSE)</f>
        <v>4241495</v>
      </c>
      <c r="K13" s="58">
        <v>904043.5</v>
      </c>
      <c r="L13" s="59">
        <f t="shared" si="2"/>
        <v>0.82430536667833698</v>
      </c>
      <c r="M13" s="18"/>
      <c r="N13" s="18"/>
      <c r="O13" s="58">
        <v>4330387</v>
      </c>
      <c r="P13" s="58">
        <v>904043</v>
      </c>
      <c r="Q13" s="57"/>
      <c r="R13" s="58">
        <v>4388495</v>
      </c>
      <c r="S13" s="58">
        <v>1354107</v>
      </c>
      <c r="T13" s="59">
        <f t="shared" si="3"/>
        <v>0.76419974777983912</v>
      </c>
      <c r="U13" s="60">
        <v>4388495</v>
      </c>
      <c r="V13" s="18"/>
      <c r="W13" s="57"/>
      <c r="X13" s="57">
        <f t="shared" si="4"/>
        <v>192437</v>
      </c>
      <c r="Y13" s="57">
        <f t="shared" si="5"/>
        <v>147000</v>
      </c>
      <c r="Z13" s="57">
        <f t="shared" si="6"/>
        <v>58108</v>
      </c>
      <c r="AA13" s="57">
        <f t="shared" si="7"/>
        <v>0</v>
      </c>
      <c r="AB13" s="18"/>
      <c r="AC13" s="61">
        <f t="shared" si="8"/>
        <v>58108</v>
      </c>
      <c r="AD13" s="63">
        <f t="shared" si="9"/>
        <v>1.3418662119574994E-2</v>
      </c>
      <c r="AE13" s="63">
        <f t="shared" si="10"/>
        <v>3.4657591250254922E-2</v>
      </c>
      <c r="AF13" s="18"/>
      <c r="AG13" s="57"/>
      <c r="AH13" s="18"/>
      <c r="AI13" s="18"/>
    </row>
    <row r="14" spans="1:35" ht="38.25" x14ac:dyDescent="0.25">
      <c r="A14" s="64">
        <v>120780283</v>
      </c>
      <c r="B14" s="65">
        <v>120780283</v>
      </c>
      <c r="C14" s="55" t="s">
        <v>349</v>
      </c>
      <c r="D14" s="56" t="s">
        <v>346</v>
      </c>
      <c r="E14" s="57">
        <f>+VLOOKUP(A14,[1]Feuil1!$H$5:$O$64,6,FALSE)</f>
        <v>47569618</v>
      </c>
      <c r="F14" s="57"/>
      <c r="G14" s="58">
        <v>39722766</v>
      </c>
      <c r="H14" s="58">
        <v>6965838</v>
      </c>
      <c r="I14" s="57"/>
      <c r="J14" s="58">
        <f>+VLOOKUP(A14,[1]Feuil1!$H$5:$S$64,8,FALSE)</f>
        <v>40147720</v>
      </c>
      <c r="K14" s="58">
        <v>7234870</v>
      </c>
      <c r="L14" s="59">
        <f t="shared" si="2"/>
        <v>0.84730952866865239</v>
      </c>
      <c r="M14" s="18"/>
      <c r="N14" s="18"/>
      <c r="O14" s="58">
        <v>41092741</v>
      </c>
      <c r="P14" s="58">
        <v>7234870</v>
      </c>
      <c r="Q14" s="57"/>
      <c r="R14" s="58">
        <v>41633355.259999998</v>
      </c>
      <c r="S14" s="58">
        <v>7835765</v>
      </c>
      <c r="T14" s="59">
        <f t="shared" si="3"/>
        <v>0.8416029038152133</v>
      </c>
      <c r="U14" s="60">
        <v>41633355</v>
      </c>
      <c r="V14" s="18"/>
      <c r="W14" s="57"/>
      <c r="X14" s="57">
        <f t="shared" si="4"/>
        <v>1910589</v>
      </c>
      <c r="Y14" s="57">
        <f t="shared" si="5"/>
        <v>1485635</v>
      </c>
      <c r="Z14" s="57">
        <f t="shared" si="6"/>
        <v>540614</v>
      </c>
      <c r="AA14" s="57">
        <f t="shared" si="7"/>
        <v>-0.25999999791383743</v>
      </c>
      <c r="AB14" s="18"/>
      <c r="AC14" s="61">
        <f t="shared" si="8"/>
        <v>540614</v>
      </c>
      <c r="AD14" s="63">
        <f t="shared" si="9"/>
        <v>1.3155948881579839E-2</v>
      </c>
      <c r="AE14" s="63">
        <f t="shared" si="10"/>
        <v>3.7004218421369882E-2</v>
      </c>
      <c r="AF14" s="18"/>
      <c r="AG14" s="57"/>
      <c r="AH14" s="18"/>
      <c r="AI14" s="18"/>
    </row>
    <row r="15" spans="1:35" ht="25.5" x14ac:dyDescent="0.25">
      <c r="A15" s="64">
        <v>300002128</v>
      </c>
      <c r="B15" s="65">
        <v>300002128</v>
      </c>
      <c r="C15" s="55" t="s">
        <v>350</v>
      </c>
      <c r="D15" s="56" t="s">
        <v>346</v>
      </c>
      <c r="E15" s="57">
        <f>+VLOOKUP(A15,[1]Feuil1!$H$5:$O$64,6,FALSE)</f>
        <v>2732470</v>
      </c>
      <c r="F15" s="57"/>
      <c r="G15" s="58">
        <v>329306</v>
      </c>
      <c r="H15" s="58">
        <v>2355676</v>
      </c>
      <c r="I15" s="57"/>
      <c r="J15" s="58">
        <f>+VLOOKUP(A15,[1]Feuil1!$H$5:$S$64,8,FALSE)</f>
        <v>332817</v>
      </c>
      <c r="K15" s="58">
        <v>2355676</v>
      </c>
      <c r="L15" s="59">
        <f t="shared" si="2"/>
        <v>0.12379314359382747</v>
      </c>
      <c r="M15" s="18"/>
      <c r="N15" s="18"/>
      <c r="O15" s="58">
        <v>340251</v>
      </c>
      <c r="P15" s="58">
        <v>2355676</v>
      </c>
      <c r="Q15" s="57"/>
      <c r="R15" s="58">
        <v>344811.73</v>
      </c>
      <c r="S15" s="58">
        <v>2355676</v>
      </c>
      <c r="T15" s="59">
        <f t="shared" si="3"/>
        <v>0.12768498303823064</v>
      </c>
      <c r="U15" s="60">
        <v>344811</v>
      </c>
      <c r="V15" s="18"/>
      <c r="W15" s="57"/>
      <c r="X15" s="57">
        <f t="shared" si="4"/>
        <v>15505</v>
      </c>
      <c r="Y15" s="57">
        <f t="shared" si="5"/>
        <v>11994</v>
      </c>
      <c r="Z15" s="57">
        <f t="shared" si="6"/>
        <v>4560</v>
      </c>
      <c r="AA15" s="57">
        <f t="shared" si="7"/>
        <v>-0.72999999998137355</v>
      </c>
      <c r="AB15" s="18"/>
      <c r="AC15" s="61">
        <f t="shared" si="8"/>
        <v>4560</v>
      </c>
      <c r="AD15" s="63">
        <f t="shared" si="9"/>
        <v>1.3401870971723816E-2</v>
      </c>
      <c r="AE15" s="63">
        <f t="shared" si="10"/>
        <v>3.6037822587187553E-2</v>
      </c>
      <c r="AF15" s="18"/>
      <c r="AG15" s="57"/>
      <c r="AH15" s="18"/>
      <c r="AI15" s="18"/>
    </row>
    <row r="16" spans="1:35" ht="38.25" x14ac:dyDescent="0.25">
      <c r="A16" s="64">
        <v>300002896</v>
      </c>
      <c r="B16" s="65">
        <v>300002896</v>
      </c>
      <c r="C16" s="55" t="s">
        <v>351</v>
      </c>
      <c r="D16" s="56" t="s">
        <v>346</v>
      </c>
      <c r="E16" s="57">
        <f>+VLOOKUP(A16,[1]Feuil1!$H$5:$O$64,6,FALSE)</f>
        <v>1169745</v>
      </c>
      <c r="F16" s="57"/>
      <c r="G16" s="58">
        <v>1034278</v>
      </c>
      <c r="H16" s="58">
        <v>130864</v>
      </c>
      <c r="I16" s="57"/>
      <c r="J16" s="58">
        <f>+VLOOKUP(A16,[1]Feuil1!$H$5:$S$64,8,FALSE)</f>
        <v>1044341</v>
      </c>
      <c r="K16" s="58">
        <v>169802.21</v>
      </c>
      <c r="L16" s="59">
        <f t="shared" si="2"/>
        <v>0.86014647316604442</v>
      </c>
      <c r="M16" s="18"/>
      <c r="N16" s="18"/>
      <c r="O16" s="58">
        <v>1071538</v>
      </c>
      <c r="P16" s="58">
        <v>169802</v>
      </c>
      <c r="Q16" s="57"/>
      <c r="R16" s="58">
        <v>1085845</v>
      </c>
      <c r="S16" s="58">
        <v>213237</v>
      </c>
      <c r="T16" s="59">
        <f t="shared" si="3"/>
        <v>0.83585562728141871</v>
      </c>
      <c r="U16" s="60">
        <v>1085845</v>
      </c>
      <c r="V16" s="18"/>
      <c r="W16" s="57"/>
      <c r="X16" s="57">
        <f t="shared" si="4"/>
        <v>51567</v>
      </c>
      <c r="Y16" s="57">
        <f t="shared" si="5"/>
        <v>41504</v>
      </c>
      <c r="Z16" s="57">
        <f t="shared" si="6"/>
        <v>14307</v>
      </c>
      <c r="AA16" s="57">
        <f t="shared" si="7"/>
        <v>0</v>
      </c>
      <c r="AB16" s="18"/>
      <c r="AC16" s="61">
        <f t="shared" si="8"/>
        <v>14307</v>
      </c>
      <c r="AD16" s="63">
        <f t="shared" si="9"/>
        <v>1.3351836332449246E-2</v>
      </c>
      <c r="AE16" s="63">
        <f t="shared" si="10"/>
        <v>3.9741808470604906E-2</v>
      </c>
      <c r="AF16" s="18"/>
      <c r="AG16" s="57"/>
      <c r="AH16" s="18"/>
      <c r="AI16" s="18"/>
    </row>
    <row r="17" spans="1:35" x14ac:dyDescent="0.25">
      <c r="A17" s="64">
        <v>300782117</v>
      </c>
      <c r="B17" s="65">
        <v>300780038</v>
      </c>
      <c r="C17" s="55" t="s">
        <v>258</v>
      </c>
      <c r="D17" s="56" t="s">
        <v>342</v>
      </c>
      <c r="E17" s="57">
        <f>+VLOOKUP(A17,[1]Feuil1!$H$5:$O$64,6,FALSE)</f>
        <v>24609770</v>
      </c>
      <c r="F17" s="57"/>
      <c r="G17" s="58">
        <v>19403601</v>
      </c>
      <c r="H17" s="58">
        <v>3089520</v>
      </c>
      <c r="I17" s="57"/>
      <c r="J17" s="58">
        <f>+VLOOKUP(A17,[1]Feuil1!$H$5:$S$64,8,FALSE)</f>
        <v>19727953</v>
      </c>
      <c r="K17" s="58">
        <v>3089520</v>
      </c>
      <c r="L17" s="59">
        <f t="shared" si="2"/>
        <v>0.86459850308577113</v>
      </c>
      <c r="M17" s="18"/>
      <c r="N17" s="18"/>
      <c r="O17" s="58">
        <v>20585995</v>
      </c>
      <c r="P17" s="58">
        <v>3089520</v>
      </c>
      <c r="Q17" s="57"/>
      <c r="R17" s="58">
        <v>20631656.239999998</v>
      </c>
      <c r="S17" s="58">
        <v>3293470</v>
      </c>
      <c r="T17" s="59">
        <f t="shared" si="3"/>
        <v>0.86234262812399687</v>
      </c>
      <c r="U17" s="60">
        <v>20631656</v>
      </c>
      <c r="V17" s="18"/>
      <c r="W17" s="57"/>
      <c r="X17" s="57">
        <f t="shared" si="4"/>
        <v>1228055</v>
      </c>
      <c r="Y17" s="57">
        <f t="shared" si="5"/>
        <v>903703</v>
      </c>
      <c r="Z17" s="57">
        <f t="shared" si="6"/>
        <v>45661</v>
      </c>
      <c r="AA17" s="57">
        <f t="shared" si="7"/>
        <v>-0.23999999836087227</v>
      </c>
      <c r="AB17" s="18"/>
      <c r="AC17" s="61">
        <f t="shared" si="8"/>
        <v>45661</v>
      </c>
      <c r="AD17" s="63">
        <f t="shared" si="9"/>
        <v>2.2180613567622065E-3</v>
      </c>
      <c r="AE17" s="63">
        <f t="shared" si="10"/>
        <v>4.5808249847310564E-2</v>
      </c>
      <c r="AF17" s="18"/>
      <c r="AG17" s="57"/>
      <c r="AH17" s="18"/>
      <c r="AI17" s="18"/>
    </row>
    <row r="18" spans="1:35" ht="51" x14ac:dyDescent="0.25">
      <c r="A18" s="64">
        <v>300000023</v>
      </c>
      <c r="B18" s="65">
        <v>300780046</v>
      </c>
      <c r="C18" s="55" t="s">
        <v>352</v>
      </c>
      <c r="D18" s="56" t="s">
        <v>342</v>
      </c>
      <c r="E18" s="57">
        <f>+VLOOKUP(A18,[1]Feuil1!$H$5:$O$64,6,FALSE)</f>
        <v>15124289</v>
      </c>
      <c r="F18" s="57"/>
      <c r="G18" s="58">
        <v>12770367</v>
      </c>
      <c r="H18" s="58">
        <v>2299124</v>
      </c>
      <c r="I18" s="57"/>
      <c r="J18" s="58">
        <f>+VLOOKUP(A18,[1]Feuil1!$H$5:$S$64,8,FALSE)</f>
        <v>12915918</v>
      </c>
      <c r="K18" s="58">
        <v>2519961.39</v>
      </c>
      <c r="L18" s="59">
        <f t="shared" si="2"/>
        <v>0.83674649650135668</v>
      </c>
      <c r="M18" s="18"/>
      <c r="N18" s="18"/>
      <c r="O18" s="58">
        <v>13194475</v>
      </c>
      <c r="P18" s="58">
        <v>2519961</v>
      </c>
      <c r="Q18" s="57"/>
      <c r="R18" s="58">
        <v>13410256</v>
      </c>
      <c r="S18" s="58">
        <v>2561465</v>
      </c>
      <c r="T18" s="59">
        <f t="shared" si="3"/>
        <v>0.83962498468386715</v>
      </c>
      <c r="U18" s="60">
        <v>13410256</v>
      </c>
      <c r="V18" s="18"/>
      <c r="W18" s="57"/>
      <c r="X18" s="57">
        <f t="shared" si="4"/>
        <v>639889</v>
      </c>
      <c r="Y18" s="57">
        <f t="shared" si="5"/>
        <v>494338</v>
      </c>
      <c r="Z18" s="57">
        <f t="shared" si="6"/>
        <v>215781</v>
      </c>
      <c r="AA18" s="57">
        <f t="shared" si="7"/>
        <v>0</v>
      </c>
      <c r="AB18" s="18"/>
      <c r="AC18" s="61">
        <f t="shared" si="8"/>
        <v>215781</v>
      </c>
      <c r="AD18" s="62">
        <f t="shared" si="9"/>
        <v>1.6353890548885044E-2</v>
      </c>
      <c r="AE18" s="63">
        <f t="shared" si="10"/>
        <v>3.8273547416451545E-2</v>
      </c>
      <c r="AF18" s="18"/>
      <c r="AG18" s="57">
        <v>13404420</v>
      </c>
      <c r="AH18" s="57">
        <f>+U18-AG18</f>
        <v>5836</v>
      </c>
      <c r="AI18" s="59">
        <f>+(AG18-O18)/O18</f>
        <v>1.5911584204752367E-2</v>
      </c>
    </row>
    <row r="19" spans="1:35" ht="25.5" x14ac:dyDescent="0.25">
      <c r="A19" s="64">
        <v>300000080</v>
      </c>
      <c r="B19" s="65">
        <v>300780103</v>
      </c>
      <c r="C19" s="55" t="s">
        <v>353</v>
      </c>
      <c r="D19" s="56" t="s">
        <v>342</v>
      </c>
      <c r="E19" s="57">
        <f>+VLOOKUP(A19,[1]Feuil1!$H$5:$O$64,6,FALSE)</f>
        <v>38878237</v>
      </c>
      <c r="F19" s="57"/>
      <c r="G19" s="58">
        <v>31893414</v>
      </c>
      <c r="H19" s="58">
        <v>6114990</v>
      </c>
      <c r="I19" s="57"/>
      <c r="J19" s="58">
        <f>+VLOOKUP(A19,[1]Feuil1!$H$5:$S$64,8,FALSE)</f>
        <v>32345981</v>
      </c>
      <c r="K19" s="58">
        <v>6447035</v>
      </c>
      <c r="L19" s="59">
        <f t="shared" si="2"/>
        <v>0.83380938981387787</v>
      </c>
      <c r="M19" s="18"/>
      <c r="N19" s="18"/>
      <c r="O19" s="58">
        <v>33229443.629999999</v>
      </c>
      <c r="P19" s="58">
        <v>6447035</v>
      </c>
      <c r="Q19" s="57"/>
      <c r="R19" s="58">
        <v>33620300.32</v>
      </c>
      <c r="S19" s="58">
        <v>7065303</v>
      </c>
      <c r="T19" s="59">
        <f t="shared" si="3"/>
        <v>0.82634390488374843</v>
      </c>
      <c r="U19" s="60">
        <v>33620300</v>
      </c>
      <c r="V19" s="18"/>
      <c r="W19" s="57"/>
      <c r="X19" s="57">
        <f t="shared" si="4"/>
        <v>1726886</v>
      </c>
      <c r="Y19" s="57">
        <f t="shared" si="5"/>
        <v>1274319</v>
      </c>
      <c r="Z19" s="57">
        <f t="shared" si="6"/>
        <v>390856.37000000104</v>
      </c>
      <c r="AA19" s="57">
        <f t="shared" si="7"/>
        <v>-0.32000000029802322</v>
      </c>
      <c r="AB19" s="18"/>
      <c r="AC19" s="61">
        <f t="shared" si="8"/>
        <v>390856.37000000104</v>
      </c>
      <c r="AD19" s="63">
        <f t="shared" si="9"/>
        <v>1.1762350713784763E-2</v>
      </c>
      <c r="AE19" s="63">
        <f t="shared" si="10"/>
        <v>3.9396517298393267E-2</v>
      </c>
      <c r="AF19" s="18"/>
      <c r="AG19" s="57"/>
      <c r="AH19" s="18"/>
      <c r="AI19" s="18"/>
    </row>
    <row r="20" spans="1:35" ht="25.5" x14ac:dyDescent="0.25">
      <c r="A20" s="64">
        <v>300780210</v>
      </c>
      <c r="B20" s="65">
        <v>300780210</v>
      </c>
      <c r="C20" s="55" t="s">
        <v>354</v>
      </c>
      <c r="D20" s="56" t="s">
        <v>344</v>
      </c>
      <c r="E20" s="57">
        <f>+VLOOKUP(A20,[1]Feuil1!$H$5:$O$64,6,FALSE)</f>
        <v>6601403</v>
      </c>
      <c r="F20" s="57"/>
      <c r="G20" s="58">
        <v>874104</v>
      </c>
      <c r="H20" s="58">
        <v>5800536</v>
      </c>
      <c r="I20" s="57"/>
      <c r="J20" s="58">
        <f>+VLOOKUP(A20,[1]Feuil1!$H$5:$S$64,8,FALSE)</f>
        <v>885232</v>
      </c>
      <c r="K20" s="58">
        <v>6435564.4800000004</v>
      </c>
      <c r="L20" s="59">
        <f t="shared" si="2"/>
        <v>0.12092017616094143</v>
      </c>
      <c r="M20" s="18"/>
      <c r="N20" s="18"/>
      <c r="O20" s="58">
        <v>898838</v>
      </c>
      <c r="P20" s="58">
        <v>6435564</v>
      </c>
      <c r="Q20" s="57"/>
      <c r="R20" s="58">
        <v>910965.35</v>
      </c>
      <c r="S20" s="58">
        <v>7394772</v>
      </c>
      <c r="T20" s="59">
        <f t="shared" si="3"/>
        <v>0.10967904613550054</v>
      </c>
      <c r="U20" s="60">
        <v>910965</v>
      </c>
      <c r="V20" s="18"/>
      <c r="W20" s="57"/>
      <c r="X20" s="57">
        <f t="shared" si="4"/>
        <v>36861</v>
      </c>
      <c r="Y20" s="57">
        <f t="shared" si="5"/>
        <v>25733</v>
      </c>
      <c r="Z20" s="57">
        <f t="shared" si="6"/>
        <v>12127</v>
      </c>
      <c r="AA20" s="57">
        <f t="shared" si="7"/>
        <v>-0.34999999997671694</v>
      </c>
      <c r="AB20" s="18"/>
      <c r="AC20" s="61">
        <f t="shared" si="8"/>
        <v>12127</v>
      </c>
      <c r="AD20" s="63">
        <f t="shared" si="9"/>
        <v>1.3491863939886831E-2</v>
      </c>
      <c r="AE20" s="63">
        <f t="shared" si="10"/>
        <v>2.9069215753610354E-2</v>
      </c>
      <c r="AF20" s="18"/>
      <c r="AG20" s="57"/>
      <c r="AH20" s="18"/>
      <c r="AI20" s="18"/>
    </row>
    <row r="21" spans="1:35" ht="38.25" x14ac:dyDescent="0.25">
      <c r="A21" s="64">
        <v>300780244</v>
      </c>
      <c r="B21" s="65">
        <v>300780244</v>
      </c>
      <c r="C21" s="55" t="s">
        <v>262</v>
      </c>
      <c r="D21" s="56" t="s">
        <v>344</v>
      </c>
      <c r="E21" s="57">
        <f>+VLOOKUP(A21,[1]Feuil1!$H$5:$O$64,6,FALSE)</f>
        <v>2978470</v>
      </c>
      <c r="F21" s="57"/>
      <c r="G21" s="58">
        <v>353821</v>
      </c>
      <c r="H21" s="58">
        <v>2560864</v>
      </c>
      <c r="I21" s="57"/>
      <c r="J21" s="58">
        <f>+VLOOKUP(A21,[1]Feuil1!$H$5:$S$64,8,FALSE)</f>
        <v>357631</v>
      </c>
      <c r="K21" s="58">
        <v>2560864</v>
      </c>
      <c r="L21" s="59">
        <f t="shared" si="2"/>
        <v>0.12253952807868439</v>
      </c>
      <c r="M21" s="18"/>
      <c r="N21" s="18"/>
      <c r="O21" s="58">
        <v>369323</v>
      </c>
      <c r="P21" s="58">
        <v>2560864</v>
      </c>
      <c r="Q21" s="57"/>
      <c r="R21" s="58">
        <v>374222.28</v>
      </c>
      <c r="S21" s="58">
        <v>2560864</v>
      </c>
      <c r="T21" s="59">
        <f t="shared" si="3"/>
        <v>0.12749958410081219</v>
      </c>
      <c r="U21" s="60">
        <v>374222</v>
      </c>
      <c r="V21" s="18"/>
      <c r="W21" s="57"/>
      <c r="X21" s="57">
        <f t="shared" si="4"/>
        <v>20401</v>
      </c>
      <c r="Y21" s="57">
        <f t="shared" si="5"/>
        <v>16591</v>
      </c>
      <c r="Z21" s="57">
        <f t="shared" si="6"/>
        <v>4899</v>
      </c>
      <c r="AA21" s="57">
        <f t="shared" si="7"/>
        <v>-0.28000000002793968</v>
      </c>
      <c r="AB21" s="18"/>
      <c r="AC21" s="61">
        <f t="shared" si="8"/>
        <v>4899</v>
      </c>
      <c r="AD21" s="63">
        <f t="shared" si="9"/>
        <v>1.3264811560612256E-2</v>
      </c>
      <c r="AE21" s="63">
        <f t="shared" si="10"/>
        <v>4.6391392245079426E-2</v>
      </c>
      <c r="AF21" s="18"/>
      <c r="AG21" s="57"/>
      <c r="AH21" s="18"/>
      <c r="AI21" s="18"/>
    </row>
    <row r="22" spans="1:35" ht="38.25" x14ac:dyDescent="0.25">
      <c r="A22" s="64">
        <v>300780251</v>
      </c>
      <c r="B22" s="65">
        <v>300780251</v>
      </c>
      <c r="C22" s="55" t="s">
        <v>355</v>
      </c>
      <c r="D22" s="56" t="s">
        <v>344</v>
      </c>
      <c r="E22" s="57">
        <f>+VLOOKUP(A22,[1]Feuil1!$H$5:$O$64,6,FALSE)</f>
        <v>8305577</v>
      </c>
      <c r="F22" s="57"/>
      <c r="G22" s="58">
        <v>1337821</v>
      </c>
      <c r="H22" s="58">
        <v>6814063</v>
      </c>
      <c r="I22" s="57"/>
      <c r="J22" s="58">
        <f>+VLOOKUP(A22,[1]Feuil1!$H$5:$S$64,8,FALSE)</f>
        <v>1352441</v>
      </c>
      <c r="K22" s="58">
        <v>6814063</v>
      </c>
      <c r="L22" s="59">
        <f t="shared" si="2"/>
        <v>0.16560831905549792</v>
      </c>
      <c r="M22" s="18"/>
      <c r="N22" s="18"/>
      <c r="O22" s="58">
        <v>1375355</v>
      </c>
      <c r="P22" s="58">
        <v>6814063</v>
      </c>
      <c r="Q22" s="57"/>
      <c r="R22" s="58">
        <v>1393883</v>
      </c>
      <c r="S22" s="58">
        <v>6829249</v>
      </c>
      <c r="T22" s="59">
        <f t="shared" si="3"/>
        <v>0.16950755502891113</v>
      </c>
      <c r="U22" s="60">
        <v>1393883</v>
      </c>
      <c r="V22" s="18"/>
      <c r="W22" s="57"/>
      <c r="X22" s="57">
        <f t="shared" si="4"/>
        <v>56062</v>
      </c>
      <c r="Y22" s="57">
        <f t="shared" si="5"/>
        <v>41442</v>
      </c>
      <c r="Z22" s="57">
        <f t="shared" si="6"/>
        <v>18528</v>
      </c>
      <c r="AA22" s="57">
        <f t="shared" si="7"/>
        <v>0</v>
      </c>
      <c r="AB22" s="18"/>
      <c r="AC22" s="61">
        <f t="shared" si="8"/>
        <v>18528</v>
      </c>
      <c r="AD22" s="63">
        <f t="shared" si="9"/>
        <v>1.3471431012356809E-2</v>
      </c>
      <c r="AE22" s="63">
        <f t="shared" si="10"/>
        <v>3.0642371829898679E-2</v>
      </c>
      <c r="AF22" s="18"/>
      <c r="AG22" s="57"/>
      <c r="AH22" s="18"/>
      <c r="AI22" s="18"/>
    </row>
    <row r="23" spans="1:35" ht="25.5" x14ac:dyDescent="0.25">
      <c r="A23" s="64">
        <v>300780269</v>
      </c>
      <c r="B23" s="65">
        <v>300780269</v>
      </c>
      <c r="C23" s="55" t="s">
        <v>264</v>
      </c>
      <c r="D23" s="56" t="s">
        <v>344</v>
      </c>
      <c r="E23" s="57">
        <f>+VLOOKUP(A23,[1]Feuil1!$H$5:$O$64,6,FALSE)</f>
        <v>4894242</v>
      </c>
      <c r="F23" s="57"/>
      <c r="G23" s="58">
        <v>524533</v>
      </c>
      <c r="H23" s="58">
        <v>4296336</v>
      </c>
      <c r="I23" s="57"/>
      <c r="J23" s="58">
        <f>+VLOOKUP(A23,[1]Feuil1!$H$5:$S$64,8,FALSE)</f>
        <v>530295</v>
      </c>
      <c r="K23" s="58">
        <v>4328415</v>
      </c>
      <c r="L23" s="59">
        <f t="shared" si="2"/>
        <v>0.10914316763091438</v>
      </c>
      <c r="M23" s="18"/>
      <c r="N23" s="18"/>
      <c r="O23" s="58">
        <v>608873</v>
      </c>
      <c r="P23" s="58">
        <v>4328415</v>
      </c>
      <c r="Q23" s="57"/>
      <c r="R23" s="58">
        <v>616998</v>
      </c>
      <c r="S23" s="58">
        <v>4328416</v>
      </c>
      <c r="T23" s="59">
        <f>+R23/(R23+S23)</f>
        <v>0.12476164786203946</v>
      </c>
      <c r="U23" s="60">
        <v>616998</v>
      </c>
      <c r="V23" s="18"/>
      <c r="W23" s="57"/>
      <c r="X23" s="57">
        <f t="shared" si="4"/>
        <v>92465</v>
      </c>
      <c r="Y23" s="57">
        <f t="shared" si="5"/>
        <v>86703</v>
      </c>
      <c r="Z23" s="57">
        <f t="shared" si="6"/>
        <v>8125</v>
      </c>
      <c r="AA23" s="57">
        <f t="shared" si="7"/>
        <v>0</v>
      </c>
      <c r="AB23" s="18"/>
      <c r="AC23" s="61">
        <f t="shared" si="8"/>
        <v>8125</v>
      </c>
      <c r="AD23" s="63">
        <f t="shared" si="9"/>
        <v>1.3344326320924069E-2</v>
      </c>
      <c r="AE23" s="62">
        <f>+(U23-J23)/J23</f>
        <v>0.1634995615647894</v>
      </c>
      <c r="AF23" s="18"/>
      <c r="AG23" s="57"/>
      <c r="AH23" s="18"/>
      <c r="AI23" s="18"/>
    </row>
    <row r="24" spans="1:35" ht="38.25" x14ac:dyDescent="0.25">
      <c r="A24" s="64">
        <v>300780384</v>
      </c>
      <c r="B24" s="65">
        <v>300780384</v>
      </c>
      <c r="C24" s="55" t="s">
        <v>356</v>
      </c>
      <c r="D24" s="56" t="s">
        <v>346</v>
      </c>
      <c r="E24" s="57">
        <f>+VLOOKUP(A24,[1]Feuil1!$H$5:$O$64,6,FALSE)</f>
        <v>1535389</v>
      </c>
      <c r="F24" s="57"/>
      <c r="G24" s="58">
        <v>1320255</v>
      </c>
      <c r="H24" s="58">
        <v>208753</v>
      </c>
      <c r="I24" s="57"/>
      <c r="J24" s="58">
        <f>+VLOOKUP(A24,[1]Feuil1!$H$5:$S$64,8,FALSE)</f>
        <v>1333498</v>
      </c>
      <c r="K24" s="58">
        <v>230054.43</v>
      </c>
      <c r="L24" s="59">
        <f t="shared" si="2"/>
        <v>0.85286426883683075</v>
      </c>
      <c r="M24" s="18"/>
      <c r="N24" s="18"/>
      <c r="O24" s="58">
        <v>1375920</v>
      </c>
      <c r="P24" s="58">
        <v>230054</v>
      </c>
      <c r="Q24" s="57"/>
      <c r="R24" s="58">
        <v>1394189.65</v>
      </c>
      <c r="S24" s="58">
        <v>230054</v>
      </c>
      <c r="T24" s="59">
        <f t="shared" ref="T24:T67" si="11">+R24/(R24+S24)</f>
        <v>0.85836238300823897</v>
      </c>
      <c r="U24" s="60">
        <v>1394189</v>
      </c>
      <c r="V24" s="18"/>
      <c r="W24" s="57"/>
      <c r="X24" s="57">
        <f t="shared" si="4"/>
        <v>73934</v>
      </c>
      <c r="Y24" s="57">
        <f t="shared" si="5"/>
        <v>60691</v>
      </c>
      <c r="Z24" s="57">
        <f t="shared" si="6"/>
        <v>18269</v>
      </c>
      <c r="AA24" s="57">
        <f t="shared" si="7"/>
        <v>-0.64999999990686774</v>
      </c>
      <c r="AB24" s="18"/>
      <c r="AC24" s="61">
        <f t="shared" si="8"/>
        <v>18269</v>
      </c>
      <c r="AD24" s="63">
        <f t="shared" si="9"/>
        <v>1.3277661491947207E-2</v>
      </c>
      <c r="AE24" s="63">
        <f t="shared" si="10"/>
        <v>4.5512629190295001E-2</v>
      </c>
      <c r="AF24" s="18"/>
      <c r="AG24" s="57"/>
      <c r="AH24" s="18"/>
      <c r="AI24" s="18"/>
    </row>
    <row r="25" spans="1:35" ht="38.25" x14ac:dyDescent="0.25">
      <c r="A25" s="64">
        <v>300780764</v>
      </c>
      <c r="B25" s="65">
        <v>300780764</v>
      </c>
      <c r="C25" s="55" t="s">
        <v>357</v>
      </c>
      <c r="D25" s="56" t="s">
        <v>346</v>
      </c>
      <c r="E25" s="57">
        <f>+VLOOKUP(A25,[1]Feuil1!$H$5:$O$64,6,FALSE)</f>
        <v>2201048</v>
      </c>
      <c r="F25" s="57"/>
      <c r="G25" s="58">
        <v>1823390</v>
      </c>
      <c r="H25" s="58">
        <v>591195</v>
      </c>
      <c r="I25" s="57"/>
      <c r="J25" s="58">
        <f>+VLOOKUP(A25,[1]Feuil1!$H$5:$S$64,8,FALSE)</f>
        <v>1842352</v>
      </c>
      <c r="K25" s="58">
        <v>591195</v>
      </c>
      <c r="L25" s="59">
        <f t="shared" si="2"/>
        <v>0.75706448242010527</v>
      </c>
      <c r="M25" s="18"/>
      <c r="N25" s="18"/>
      <c r="O25" s="58">
        <v>1892309</v>
      </c>
      <c r="P25" s="58">
        <v>591195</v>
      </c>
      <c r="Q25" s="57"/>
      <c r="R25" s="58">
        <v>1917549.53</v>
      </c>
      <c r="S25" s="58">
        <v>591195</v>
      </c>
      <c r="T25" s="59">
        <f t="shared" si="11"/>
        <v>0.76434627243611764</v>
      </c>
      <c r="U25" s="60">
        <v>1917549</v>
      </c>
      <c r="V25" s="18"/>
      <c r="W25" s="57"/>
      <c r="X25" s="57">
        <f t="shared" si="4"/>
        <v>94159</v>
      </c>
      <c r="Y25" s="57">
        <f t="shared" si="5"/>
        <v>75197</v>
      </c>
      <c r="Z25" s="57">
        <f t="shared" si="6"/>
        <v>25240</v>
      </c>
      <c r="AA25" s="57">
        <f t="shared" si="7"/>
        <v>-0.53000000002793968</v>
      </c>
      <c r="AB25" s="18"/>
      <c r="AC25" s="61">
        <f t="shared" si="8"/>
        <v>25240</v>
      </c>
      <c r="AD25" s="63">
        <f t="shared" si="9"/>
        <v>1.333820216465704E-2</v>
      </c>
      <c r="AE25" s="63">
        <f t="shared" si="10"/>
        <v>4.0815761591704518E-2</v>
      </c>
      <c r="AF25" s="18"/>
      <c r="AG25" s="57"/>
      <c r="AH25" s="18"/>
      <c r="AI25" s="18"/>
    </row>
    <row r="26" spans="1:35" ht="38.25" x14ac:dyDescent="0.25">
      <c r="A26" s="64">
        <v>300781424</v>
      </c>
      <c r="B26" s="65">
        <v>300781424</v>
      </c>
      <c r="C26" s="55" t="s">
        <v>267</v>
      </c>
      <c r="D26" s="56" t="s">
        <v>344</v>
      </c>
      <c r="E26" s="57">
        <f>+VLOOKUP(A26,[1]Feuil1!$H$5:$O$64,6,FALSE)</f>
        <v>3492552</v>
      </c>
      <c r="F26" s="57"/>
      <c r="G26" s="58">
        <v>418672</v>
      </c>
      <c r="H26" s="58">
        <v>2995844</v>
      </c>
      <c r="I26" s="57"/>
      <c r="J26" s="58">
        <f>+VLOOKUP(A26,[1]Feuil1!$H$5:$S$64,8,FALSE)</f>
        <v>423081</v>
      </c>
      <c r="K26" s="58">
        <v>2995844</v>
      </c>
      <c r="L26" s="59">
        <f t="shared" si="2"/>
        <v>0.12374679175471823</v>
      </c>
      <c r="M26" s="18"/>
      <c r="N26" s="18"/>
      <c r="O26" s="58">
        <v>432356</v>
      </c>
      <c r="P26" s="58">
        <v>2995844</v>
      </c>
      <c r="Q26" s="57"/>
      <c r="R26" s="58">
        <v>438152.71</v>
      </c>
      <c r="S26" s="58">
        <v>2995844</v>
      </c>
      <c r="T26" s="59">
        <f t="shared" si="11"/>
        <v>0.12759264117058516</v>
      </c>
      <c r="U26" s="60">
        <v>438152</v>
      </c>
      <c r="V26" s="18"/>
      <c r="W26" s="57"/>
      <c r="X26" s="57">
        <f t="shared" si="4"/>
        <v>19480</v>
      </c>
      <c r="Y26" s="57">
        <f t="shared" si="5"/>
        <v>15071</v>
      </c>
      <c r="Z26" s="57">
        <f t="shared" si="6"/>
        <v>5796</v>
      </c>
      <c r="AA26" s="57">
        <f t="shared" si="7"/>
        <v>-0.71000000002095476</v>
      </c>
      <c r="AB26" s="18"/>
      <c r="AC26" s="61">
        <f t="shared" si="8"/>
        <v>5796</v>
      </c>
      <c r="AD26" s="63">
        <f t="shared" si="9"/>
        <v>1.3405619443236592E-2</v>
      </c>
      <c r="AE26" s="63">
        <f t="shared" si="10"/>
        <v>3.5622020369621893E-2</v>
      </c>
      <c r="AF26" s="18"/>
      <c r="AG26" s="57"/>
      <c r="AH26" s="18"/>
      <c r="AI26" s="18"/>
    </row>
    <row r="27" spans="1:35" ht="51" x14ac:dyDescent="0.25">
      <c r="A27" s="64">
        <v>310018650</v>
      </c>
      <c r="B27" s="65">
        <v>310018650</v>
      </c>
      <c r="C27" s="55" t="s">
        <v>123</v>
      </c>
      <c r="D27" s="56" t="s">
        <v>346</v>
      </c>
      <c r="E27" s="57">
        <f>+VLOOKUP(A27,[1]Feuil1!$H$5:$O$64,6,FALSE)</f>
        <v>256075.98</v>
      </c>
      <c r="F27" s="57"/>
      <c r="G27" s="58">
        <v>256134</v>
      </c>
      <c r="H27" s="58">
        <v>0</v>
      </c>
      <c r="I27" s="57"/>
      <c r="J27" s="58">
        <f>+VLOOKUP(A27,[1]Feuil1!$H$5:$S$64,8,FALSE)</f>
        <v>258703</v>
      </c>
      <c r="K27" s="58">
        <v>0</v>
      </c>
      <c r="L27" s="59">
        <f t="shared" si="2"/>
        <v>1</v>
      </c>
      <c r="M27" s="18"/>
      <c r="N27" s="18"/>
      <c r="O27" s="58">
        <v>262672</v>
      </c>
      <c r="P27" s="58">
        <v>0</v>
      </c>
      <c r="Q27" s="57"/>
      <c r="R27" s="58">
        <v>266216.83</v>
      </c>
      <c r="S27" s="58">
        <v>0</v>
      </c>
      <c r="T27" s="59">
        <f t="shared" si="11"/>
        <v>1</v>
      </c>
      <c r="U27" s="60">
        <v>266216</v>
      </c>
      <c r="V27" s="18"/>
      <c r="W27" s="57"/>
      <c r="X27" s="57">
        <f t="shared" si="4"/>
        <v>10082</v>
      </c>
      <c r="Y27" s="57">
        <f t="shared" si="5"/>
        <v>7513</v>
      </c>
      <c r="Z27" s="57">
        <f t="shared" si="6"/>
        <v>3544</v>
      </c>
      <c r="AA27" s="57">
        <f t="shared" si="7"/>
        <v>-0.83000000001629815</v>
      </c>
      <c r="AB27" s="18"/>
      <c r="AC27" s="61">
        <f t="shared" si="8"/>
        <v>3544</v>
      </c>
      <c r="AD27" s="63">
        <f t="shared" si="9"/>
        <v>1.3492111835292685E-2</v>
      </c>
      <c r="AE27" s="63">
        <f t="shared" si="10"/>
        <v>2.9041023876800812E-2</v>
      </c>
      <c r="AF27" s="18"/>
      <c r="AG27" s="57"/>
      <c r="AH27" s="18"/>
      <c r="AI27" s="18"/>
    </row>
    <row r="28" spans="1:35" ht="51" x14ac:dyDescent="0.25">
      <c r="A28" s="83">
        <v>310018676</v>
      </c>
      <c r="B28" s="78">
        <v>310780895</v>
      </c>
      <c r="C28" s="84" t="s">
        <v>358</v>
      </c>
      <c r="D28" s="56" t="s">
        <v>346</v>
      </c>
      <c r="E28" s="57">
        <f>+VLOOKUP(A28,[1]Feuil1!$H$5:$O$64,6,FALSE)</f>
        <v>13098669</v>
      </c>
      <c r="F28" s="57"/>
      <c r="G28" s="58">
        <v>10639064</v>
      </c>
      <c r="H28" s="58">
        <v>2098093</v>
      </c>
      <c r="I28" s="57"/>
      <c r="J28" s="58">
        <f>+VLOOKUP(A28,[1]Feuil1!$H$5:$S$64,8,FALSE)</f>
        <v>10836713</v>
      </c>
      <c r="K28" s="58">
        <v>2180802.5699999998</v>
      </c>
      <c r="L28" s="59">
        <f t="shared" si="2"/>
        <v>0.83247167569932856</v>
      </c>
      <c r="M28" s="18"/>
      <c r="N28" s="18"/>
      <c r="O28" s="58">
        <v>11162904</v>
      </c>
      <c r="P28" s="58">
        <v>2180802</v>
      </c>
      <c r="Q28" s="57"/>
      <c r="R28" s="58">
        <v>11428182.32</v>
      </c>
      <c r="S28" s="58">
        <v>2242012</v>
      </c>
      <c r="T28" s="59">
        <f t="shared" si="11"/>
        <v>0.8359926751941007</v>
      </c>
      <c r="U28" s="60">
        <v>11428182</v>
      </c>
      <c r="V28" s="18"/>
      <c r="W28" s="57"/>
      <c r="X28" s="57">
        <f t="shared" si="4"/>
        <v>789118</v>
      </c>
      <c r="Y28" s="57">
        <f t="shared" si="5"/>
        <v>591469</v>
      </c>
      <c r="Z28" s="57">
        <f t="shared" si="6"/>
        <v>265278</v>
      </c>
      <c r="AA28" s="57">
        <f t="shared" si="7"/>
        <v>-0.32000000029802322</v>
      </c>
      <c r="AB28" s="18"/>
      <c r="AC28" s="61">
        <f t="shared" si="8"/>
        <v>265278</v>
      </c>
      <c r="AD28" s="62">
        <f t="shared" si="9"/>
        <v>2.3764246292900127E-2</v>
      </c>
      <c r="AE28" s="63">
        <f t="shared" si="10"/>
        <v>5.4580111146248868E-2</v>
      </c>
      <c r="AF28" s="18"/>
      <c r="AG28" s="57">
        <v>11428182</v>
      </c>
      <c r="AH28" s="67">
        <f>+U28-AG28</f>
        <v>0</v>
      </c>
      <c r="AI28" s="59">
        <f t="shared" ref="AI28:AI29" si="12">+(AG28-O28)/O28</f>
        <v>2.3764246292900127E-2</v>
      </c>
    </row>
    <row r="29" spans="1:35" ht="25.5" x14ac:dyDescent="0.25">
      <c r="A29" s="64">
        <v>310780119</v>
      </c>
      <c r="B29" s="65">
        <v>310780119</v>
      </c>
      <c r="C29" s="66" t="s">
        <v>268</v>
      </c>
      <c r="D29" s="56" t="s">
        <v>344</v>
      </c>
      <c r="E29" s="57">
        <f>+VLOOKUP(A29,[1]Feuil1!$H$5:$O$64,6,FALSE)</f>
        <v>5441624</v>
      </c>
      <c r="F29" s="57"/>
      <c r="G29" s="58">
        <v>656527</v>
      </c>
      <c r="H29" s="58">
        <v>4752991</v>
      </c>
      <c r="I29" s="57"/>
      <c r="J29" s="58">
        <f>+VLOOKUP(A29,[1]Feuil1!$H$5:$S$64,8,FALSE)</f>
        <v>664073</v>
      </c>
      <c r="K29" s="58">
        <v>4789383.72</v>
      </c>
      <c r="L29" s="59">
        <f t="shared" si="2"/>
        <v>0.12177102232508412</v>
      </c>
      <c r="M29" s="18"/>
      <c r="N29" s="18"/>
      <c r="O29" s="58">
        <v>682517</v>
      </c>
      <c r="P29" s="58">
        <v>4789383</v>
      </c>
      <c r="Q29" s="57"/>
      <c r="R29" s="58">
        <v>812328</v>
      </c>
      <c r="S29" s="58">
        <v>4878692</v>
      </c>
      <c r="T29" s="59">
        <f t="shared" si="11"/>
        <v>0.14273856004723232</v>
      </c>
      <c r="U29" s="60">
        <v>812328</v>
      </c>
      <c r="V29" s="18"/>
      <c r="W29" s="57"/>
      <c r="X29" s="57">
        <f t="shared" si="4"/>
        <v>155801</v>
      </c>
      <c r="Y29" s="57">
        <f t="shared" si="5"/>
        <v>148255</v>
      </c>
      <c r="Z29" s="57">
        <f t="shared" si="6"/>
        <v>129811</v>
      </c>
      <c r="AA29" s="57">
        <f t="shared" si="7"/>
        <v>0</v>
      </c>
      <c r="AB29" s="18"/>
      <c r="AC29" s="61">
        <f t="shared" si="8"/>
        <v>129811</v>
      </c>
      <c r="AD29" s="62">
        <f t="shared" si="9"/>
        <v>0.19019452995310007</v>
      </c>
      <c r="AE29" s="62">
        <f t="shared" si="10"/>
        <v>0.22325105824209085</v>
      </c>
      <c r="AF29" s="18"/>
      <c r="AG29" s="57">
        <v>812328</v>
      </c>
      <c r="AH29" s="67">
        <f>+U29-AG29</f>
        <v>0</v>
      </c>
      <c r="AI29" s="59">
        <f t="shared" si="12"/>
        <v>0.19019452995310007</v>
      </c>
    </row>
    <row r="30" spans="1:35" ht="38.25" x14ac:dyDescent="0.25">
      <c r="A30" s="64">
        <v>310780143</v>
      </c>
      <c r="B30" s="65">
        <v>310780143</v>
      </c>
      <c r="C30" s="55" t="s">
        <v>269</v>
      </c>
      <c r="D30" s="56" t="s">
        <v>344</v>
      </c>
      <c r="E30" s="57">
        <f>+VLOOKUP(A30,[1]Feuil1!$H$5:$O$64,6,FALSE)</f>
        <v>6767155</v>
      </c>
      <c r="F30" s="57"/>
      <c r="G30" s="58">
        <v>815969</v>
      </c>
      <c r="H30" s="58">
        <v>5764684</v>
      </c>
      <c r="I30" s="57"/>
      <c r="J30" s="58">
        <f>+VLOOKUP(A30,[1]Feuil1!$H$5:$S$64,8,FALSE)</f>
        <v>824399</v>
      </c>
      <c r="K30" s="58">
        <v>5764684</v>
      </c>
      <c r="L30" s="59">
        <f t="shared" si="2"/>
        <v>0.12511589245423074</v>
      </c>
      <c r="M30" s="18"/>
      <c r="N30" s="18"/>
      <c r="O30" s="58">
        <v>844010</v>
      </c>
      <c r="P30" s="58">
        <v>5764684</v>
      </c>
      <c r="Q30" s="57"/>
      <c r="R30" s="58">
        <v>855304.24</v>
      </c>
      <c r="S30" s="58">
        <v>5764684</v>
      </c>
      <c r="T30" s="59">
        <f t="shared" si="11"/>
        <v>0.1292002657696564</v>
      </c>
      <c r="U30" s="60">
        <v>855304</v>
      </c>
      <c r="V30" s="18"/>
      <c r="W30" s="57"/>
      <c r="X30" s="57">
        <f t="shared" si="4"/>
        <v>39335</v>
      </c>
      <c r="Y30" s="57">
        <f t="shared" si="5"/>
        <v>30905</v>
      </c>
      <c r="Z30" s="57">
        <f t="shared" si="6"/>
        <v>11294</v>
      </c>
      <c r="AA30" s="57">
        <f t="shared" si="7"/>
        <v>-0.23999999999068677</v>
      </c>
      <c r="AB30" s="18"/>
      <c r="AC30" s="61">
        <f t="shared" si="8"/>
        <v>11294</v>
      </c>
      <c r="AD30" s="63">
        <f t="shared" si="9"/>
        <v>1.3381358040781508E-2</v>
      </c>
      <c r="AE30" s="63">
        <f t="shared" si="10"/>
        <v>3.7487915439004656E-2</v>
      </c>
      <c r="AF30" s="18"/>
      <c r="AG30" s="57"/>
      <c r="AH30" s="18"/>
      <c r="AI30" s="18"/>
    </row>
    <row r="31" spans="1:35" ht="38.25" x14ac:dyDescent="0.25">
      <c r="A31" s="64">
        <v>310780358</v>
      </c>
      <c r="B31" s="65">
        <v>310780358</v>
      </c>
      <c r="C31" s="55" t="s">
        <v>359</v>
      </c>
      <c r="D31" s="56" t="s">
        <v>344</v>
      </c>
      <c r="E31" s="57">
        <f>+VLOOKUP(A31,[1]Feuil1!$H$5:$O$64,6,FALSE)</f>
        <v>4953810</v>
      </c>
      <c r="F31" s="57"/>
      <c r="G31" s="58">
        <v>757731</v>
      </c>
      <c r="H31" s="58">
        <v>4073237</v>
      </c>
      <c r="I31" s="57"/>
      <c r="J31" s="58">
        <f>+VLOOKUP(A31,[1]Feuil1!$H$5:$S$64,8,FALSE)</f>
        <v>765729</v>
      </c>
      <c r="K31" s="58">
        <v>4073237.7</v>
      </c>
      <c r="L31" s="59">
        <f t="shared" si="2"/>
        <v>0.15824225448792612</v>
      </c>
      <c r="M31" s="18"/>
      <c r="N31" s="18"/>
      <c r="O31" s="58">
        <v>785390</v>
      </c>
      <c r="P31" s="58">
        <v>4073237</v>
      </c>
      <c r="Q31" s="57"/>
      <c r="R31" s="58">
        <v>795880.49</v>
      </c>
      <c r="S31" s="58">
        <v>4087855</v>
      </c>
      <c r="T31" s="59">
        <f t="shared" si="11"/>
        <v>0.16296551924846364</v>
      </c>
      <c r="U31" s="60">
        <v>795880</v>
      </c>
      <c r="V31" s="18"/>
      <c r="W31" s="57"/>
      <c r="X31" s="57">
        <f t="shared" si="4"/>
        <v>38149</v>
      </c>
      <c r="Y31" s="57">
        <f t="shared" si="5"/>
        <v>30151</v>
      </c>
      <c r="Z31" s="57">
        <f t="shared" si="6"/>
        <v>10490</v>
      </c>
      <c r="AA31" s="57">
        <f t="shared" si="7"/>
        <v>-0.48999999999068677</v>
      </c>
      <c r="AB31" s="18"/>
      <c r="AC31" s="61">
        <f t="shared" si="8"/>
        <v>10490</v>
      </c>
      <c r="AD31" s="63">
        <f t="shared" si="9"/>
        <v>1.3356421650390252E-2</v>
      </c>
      <c r="AE31" s="63">
        <f t="shared" si="10"/>
        <v>3.9375549313138199E-2</v>
      </c>
      <c r="AF31" s="18"/>
      <c r="AG31" s="57"/>
      <c r="AH31" s="18"/>
      <c r="AI31" s="18"/>
    </row>
    <row r="32" spans="1:35" ht="25.5" x14ac:dyDescent="0.25">
      <c r="A32" s="64">
        <v>310780390</v>
      </c>
      <c r="B32" s="65">
        <v>310780390</v>
      </c>
      <c r="C32" s="55" t="s">
        <v>271</v>
      </c>
      <c r="D32" s="56" t="s">
        <v>344</v>
      </c>
      <c r="E32" s="57">
        <f>+VLOOKUP(A32,[1]Feuil1!$H$5:$O$64,6,FALSE)</f>
        <v>8971892</v>
      </c>
      <c r="F32" s="57"/>
      <c r="G32" s="58">
        <v>1270806</v>
      </c>
      <c r="H32" s="58">
        <v>7122706</v>
      </c>
      <c r="I32" s="57"/>
      <c r="J32" s="58">
        <f>+VLOOKUP(A32,[1]Feuil1!$H$5:$S$64,8,FALSE)</f>
        <v>1283369</v>
      </c>
      <c r="K32" s="58">
        <v>7175020.8799999999</v>
      </c>
      <c r="L32" s="59">
        <f t="shared" si="2"/>
        <v>0.15172734033395019</v>
      </c>
      <c r="M32" s="18"/>
      <c r="N32" s="18"/>
      <c r="O32" s="58">
        <v>1302623</v>
      </c>
      <c r="P32" s="58">
        <v>7175020</v>
      </c>
      <c r="Q32" s="57"/>
      <c r="R32" s="58">
        <v>2262211</v>
      </c>
      <c r="S32" s="58">
        <v>7735178</v>
      </c>
      <c r="T32" s="59">
        <f t="shared" si="11"/>
        <v>0.22628018175545636</v>
      </c>
      <c r="U32" s="60">
        <v>2262211</v>
      </c>
      <c r="V32" s="18"/>
      <c r="W32" s="57"/>
      <c r="X32" s="57">
        <f t="shared" si="4"/>
        <v>991405</v>
      </c>
      <c r="Y32" s="57">
        <f t="shared" si="5"/>
        <v>978842</v>
      </c>
      <c r="Z32" s="57">
        <f t="shared" si="6"/>
        <v>959588</v>
      </c>
      <c r="AA32" s="57">
        <f t="shared" si="7"/>
        <v>0</v>
      </c>
      <c r="AB32" s="18"/>
      <c r="AC32" s="61">
        <f t="shared" si="8"/>
        <v>959588</v>
      </c>
      <c r="AD32" s="62">
        <f t="shared" si="9"/>
        <v>0.73665826566857795</v>
      </c>
      <c r="AE32" s="62">
        <f t="shared" si="10"/>
        <v>0.76271282850061051</v>
      </c>
      <c r="AF32" s="18"/>
      <c r="AG32" s="57">
        <v>1889705.92</v>
      </c>
      <c r="AH32" s="57">
        <f>+U32-AG32</f>
        <v>372505.08000000007</v>
      </c>
      <c r="AI32" s="59">
        <f t="shared" ref="AI32:AI33" si="13">+(AG32-O32)/O32</f>
        <v>0.45069288658345502</v>
      </c>
    </row>
    <row r="33" spans="1:35" ht="51" x14ac:dyDescent="0.25">
      <c r="A33" s="64">
        <v>310000369</v>
      </c>
      <c r="B33" s="65">
        <v>310780754</v>
      </c>
      <c r="C33" s="55" t="s">
        <v>360</v>
      </c>
      <c r="D33" s="56" t="s">
        <v>342</v>
      </c>
      <c r="E33" s="57">
        <f>+VLOOKUP(A33,[1]Feuil1!$H$5:$O$64,6,FALSE)</f>
        <v>85713903</v>
      </c>
      <c r="F33" s="57"/>
      <c r="G33" s="58">
        <v>61886845</v>
      </c>
      <c r="H33" s="58">
        <v>10602610</v>
      </c>
      <c r="I33" s="57"/>
      <c r="J33" s="58">
        <f>+VLOOKUP(A33,[1]Feuil1!$H$5:$S$64,8,FALSE)</f>
        <v>63044542</v>
      </c>
      <c r="K33" s="58">
        <v>11061207.640000001</v>
      </c>
      <c r="L33" s="59">
        <f t="shared" si="2"/>
        <v>0.85073752450066975</v>
      </c>
      <c r="M33" s="18"/>
      <c r="N33" s="18"/>
      <c r="O33" s="58">
        <v>65229581</v>
      </c>
      <c r="P33" s="58">
        <v>11061207</v>
      </c>
      <c r="Q33" s="57"/>
      <c r="R33" s="58">
        <v>67889198.420000002</v>
      </c>
      <c r="S33" s="58">
        <v>11974988</v>
      </c>
      <c r="T33" s="59">
        <f t="shared" si="11"/>
        <v>0.85005809816900402</v>
      </c>
      <c r="U33" s="60">
        <v>67889198</v>
      </c>
      <c r="V33" s="18"/>
      <c r="W33" s="57"/>
      <c r="X33" s="57">
        <f t="shared" si="4"/>
        <v>6002353</v>
      </c>
      <c r="Y33" s="57">
        <f t="shared" si="5"/>
        <v>4844656</v>
      </c>
      <c r="Z33" s="57">
        <f t="shared" si="6"/>
        <v>2659617</v>
      </c>
      <c r="AA33" s="57">
        <f t="shared" si="7"/>
        <v>-0.42000000178813934</v>
      </c>
      <c r="AB33" s="18"/>
      <c r="AC33" s="61">
        <f t="shared" si="8"/>
        <v>2659617</v>
      </c>
      <c r="AD33" s="62">
        <f t="shared" si="9"/>
        <v>4.0773173140572529E-2</v>
      </c>
      <c r="AE33" s="63">
        <f t="shared" si="10"/>
        <v>7.6844970973062185E-2</v>
      </c>
      <c r="AF33" s="18"/>
      <c r="AG33" s="57">
        <v>67870453.209999993</v>
      </c>
      <c r="AH33" s="57">
        <f>+U33-AG33</f>
        <v>18744.790000006557</v>
      </c>
      <c r="AI33" s="59">
        <f t="shared" si="13"/>
        <v>4.0485806738510148E-2</v>
      </c>
    </row>
    <row r="34" spans="1:35" ht="25.5" x14ac:dyDescent="0.25">
      <c r="A34" s="64">
        <v>310781000</v>
      </c>
      <c r="B34" s="65">
        <v>310781000</v>
      </c>
      <c r="C34" s="55" t="s">
        <v>274</v>
      </c>
      <c r="D34" s="56" t="s">
        <v>344</v>
      </c>
      <c r="E34" s="57">
        <f>+VLOOKUP(A34,[1]Feuil1!$H$5:$O$64,6,FALSE)</f>
        <v>6854823</v>
      </c>
      <c r="F34" s="57"/>
      <c r="G34" s="58">
        <v>931251</v>
      </c>
      <c r="H34" s="58">
        <v>931251</v>
      </c>
      <c r="I34" s="57"/>
      <c r="J34" s="58">
        <f>+VLOOKUP(A34,[1]Feuil1!$H$5:$S$64,8,FALSE)</f>
        <v>939862</v>
      </c>
      <c r="K34" s="58">
        <v>5720998</v>
      </c>
      <c r="L34" s="59">
        <f t="shared" si="2"/>
        <v>0.14110220001621412</v>
      </c>
      <c r="M34" s="18"/>
      <c r="N34" s="18"/>
      <c r="O34" s="58">
        <v>955263</v>
      </c>
      <c r="P34" s="58">
        <v>5720998</v>
      </c>
      <c r="Q34" s="57"/>
      <c r="R34" s="58">
        <v>968139.65</v>
      </c>
      <c r="S34" s="58">
        <v>5720998</v>
      </c>
      <c r="T34" s="59">
        <f t="shared" si="11"/>
        <v>0.14473310322743918</v>
      </c>
      <c r="U34" s="60">
        <v>968139</v>
      </c>
      <c r="V34" s="18"/>
      <c r="W34" s="57"/>
      <c r="X34" s="57">
        <f t="shared" si="4"/>
        <v>36888</v>
      </c>
      <c r="Y34" s="57">
        <f t="shared" si="5"/>
        <v>28277</v>
      </c>
      <c r="Z34" s="57">
        <f t="shared" si="6"/>
        <v>12876</v>
      </c>
      <c r="AA34" s="57">
        <f t="shared" si="7"/>
        <v>-0.65000000002328306</v>
      </c>
      <c r="AB34" s="18"/>
      <c r="AC34" s="61">
        <f t="shared" si="8"/>
        <v>12876</v>
      </c>
      <c r="AD34" s="63">
        <f t="shared" si="9"/>
        <v>1.3479010492398429E-2</v>
      </c>
      <c r="AE34" s="63">
        <f t="shared" si="10"/>
        <v>3.0086331823182551E-2</v>
      </c>
      <c r="AF34" s="18"/>
      <c r="AG34" s="57"/>
      <c r="AH34" s="18"/>
      <c r="AI34" s="18"/>
    </row>
    <row r="35" spans="1:35" ht="25.5" x14ac:dyDescent="0.25">
      <c r="A35" s="64">
        <v>310781133</v>
      </c>
      <c r="B35" s="65">
        <v>310781133</v>
      </c>
      <c r="C35" s="55" t="s">
        <v>275</v>
      </c>
      <c r="D35" s="56" t="s">
        <v>344</v>
      </c>
      <c r="E35" s="57">
        <f>+VLOOKUP(A35,[1]Feuil1!$H$5:$O$64,6,FALSE)</f>
        <v>7159471</v>
      </c>
      <c r="F35" s="57"/>
      <c r="G35" s="58">
        <v>902844</v>
      </c>
      <c r="H35" s="58">
        <v>6096547</v>
      </c>
      <c r="I35" s="57"/>
      <c r="J35" s="58">
        <f>+VLOOKUP(A35,[1]Feuil1!$H$5:$S$64,8,FALSE)</f>
        <v>912600</v>
      </c>
      <c r="K35" s="58">
        <v>6523906.4500000002</v>
      </c>
      <c r="L35" s="59">
        <f t="shared" si="2"/>
        <v>0.12271891460539243</v>
      </c>
      <c r="M35" s="18"/>
      <c r="N35" s="18"/>
      <c r="O35" s="58">
        <v>937309</v>
      </c>
      <c r="P35" s="58">
        <v>6523906</v>
      </c>
      <c r="Q35" s="57"/>
      <c r="R35" s="58">
        <v>949811.34</v>
      </c>
      <c r="S35" s="58">
        <v>7059288</v>
      </c>
      <c r="T35" s="59">
        <f t="shared" si="11"/>
        <v>0.11859152941908696</v>
      </c>
      <c r="U35" s="60">
        <v>949811</v>
      </c>
      <c r="V35" s="18"/>
      <c r="W35" s="57"/>
      <c r="X35" s="57">
        <f t="shared" si="4"/>
        <v>46967</v>
      </c>
      <c r="Y35" s="57">
        <f t="shared" si="5"/>
        <v>37211</v>
      </c>
      <c r="Z35" s="57">
        <f t="shared" si="6"/>
        <v>12502</v>
      </c>
      <c r="AA35" s="57">
        <f t="shared" si="7"/>
        <v>-0.33999999996740371</v>
      </c>
      <c r="AB35" s="18"/>
      <c r="AC35" s="61">
        <f t="shared" si="8"/>
        <v>12502</v>
      </c>
      <c r="AD35" s="63">
        <f t="shared" si="9"/>
        <v>1.3338184099373845E-2</v>
      </c>
      <c r="AE35" s="63">
        <f t="shared" si="10"/>
        <v>4.0774709620863464E-2</v>
      </c>
      <c r="AF35" s="18"/>
      <c r="AG35" s="57"/>
      <c r="AH35" s="18"/>
      <c r="AI35" s="18"/>
    </row>
    <row r="36" spans="1:35" ht="51" x14ac:dyDescent="0.25">
      <c r="A36" s="64">
        <v>310781141</v>
      </c>
      <c r="B36" s="65">
        <v>310781141</v>
      </c>
      <c r="C36" s="55" t="s">
        <v>361</v>
      </c>
      <c r="D36" s="56" t="s">
        <v>344</v>
      </c>
      <c r="E36" s="57">
        <f>+VLOOKUP(A36,[1]Feuil1!$H$5:$O$64,6,FALSE)</f>
        <v>7959649</v>
      </c>
      <c r="F36" s="57"/>
      <c r="G36" s="58">
        <v>931590</v>
      </c>
      <c r="H36" s="58">
        <v>6786034</v>
      </c>
      <c r="I36" s="57"/>
      <c r="J36" s="58">
        <f>+VLOOKUP(A36,[1]Feuil1!$H$5:$S$64,8,FALSE)</f>
        <v>940834</v>
      </c>
      <c r="K36" s="58">
        <v>6786034</v>
      </c>
      <c r="L36" s="59">
        <f t="shared" si="2"/>
        <v>0.12176136566588169</v>
      </c>
      <c r="M36" s="18"/>
      <c r="N36" s="18"/>
      <c r="O36" s="58">
        <v>964111</v>
      </c>
      <c r="P36" s="58">
        <v>6786034</v>
      </c>
      <c r="Q36" s="57"/>
      <c r="R36" s="58">
        <v>977000.21</v>
      </c>
      <c r="S36" s="58">
        <v>6786034</v>
      </c>
      <c r="T36" s="59">
        <f t="shared" si="11"/>
        <v>0.12585287963068245</v>
      </c>
      <c r="U36" s="60">
        <v>977000</v>
      </c>
      <c r="V36" s="18"/>
      <c r="W36" s="57"/>
      <c r="X36" s="57">
        <f t="shared" si="4"/>
        <v>45410</v>
      </c>
      <c r="Y36" s="57">
        <f t="shared" si="5"/>
        <v>36166</v>
      </c>
      <c r="Z36" s="57">
        <f t="shared" si="6"/>
        <v>12889</v>
      </c>
      <c r="AA36" s="57">
        <f t="shared" si="7"/>
        <v>-0.2099999999627471</v>
      </c>
      <c r="AB36" s="18"/>
      <c r="AC36" s="61">
        <f t="shared" si="8"/>
        <v>12889</v>
      </c>
      <c r="AD36" s="63">
        <f t="shared" si="9"/>
        <v>1.3368792597532857E-2</v>
      </c>
      <c r="AE36" s="63">
        <f t="shared" si="10"/>
        <v>3.8440362486899922E-2</v>
      </c>
      <c r="AF36" s="18"/>
      <c r="AG36" s="57"/>
      <c r="AH36" s="18"/>
      <c r="AI36" s="18"/>
    </row>
    <row r="37" spans="1:35" ht="25.5" x14ac:dyDescent="0.25">
      <c r="A37" s="64">
        <v>310781158</v>
      </c>
      <c r="B37" s="65">
        <v>310781158</v>
      </c>
      <c r="C37" s="55" t="s">
        <v>362</v>
      </c>
      <c r="D37" s="56" t="s">
        <v>344</v>
      </c>
      <c r="E37" s="57">
        <f>+VLOOKUP(A37,[1]Feuil1!$H$5:$O$64,6,FALSE)</f>
        <v>7661386</v>
      </c>
      <c r="F37" s="57"/>
      <c r="G37" s="58">
        <v>683956</v>
      </c>
      <c r="H37" s="58">
        <v>6910040</v>
      </c>
      <c r="I37" s="57"/>
      <c r="J37" s="58">
        <f>+VLOOKUP(A37,[1]Feuil1!$H$5:$S$64,8,FALSE)</f>
        <v>691633</v>
      </c>
      <c r="K37" s="58">
        <v>6939775.9699999997</v>
      </c>
      <c r="L37" s="59">
        <f t="shared" si="2"/>
        <v>9.0629791001752599E-2</v>
      </c>
      <c r="M37" s="18"/>
      <c r="N37" s="18"/>
      <c r="O37" s="58">
        <v>956334</v>
      </c>
      <c r="P37" s="58">
        <v>6939775</v>
      </c>
      <c r="Q37" s="57"/>
      <c r="R37" s="58">
        <v>969101.03</v>
      </c>
      <c r="S37" s="58">
        <v>7084307</v>
      </c>
      <c r="T37" s="59">
        <f t="shared" si="11"/>
        <v>0.12033427666771281</v>
      </c>
      <c r="U37" s="60">
        <v>969101</v>
      </c>
      <c r="V37" s="18"/>
      <c r="W37" s="57"/>
      <c r="X37" s="57">
        <f t="shared" si="4"/>
        <v>285145</v>
      </c>
      <c r="Y37" s="57">
        <f t="shared" si="5"/>
        <v>277468</v>
      </c>
      <c r="Z37" s="57">
        <f t="shared" si="6"/>
        <v>12767</v>
      </c>
      <c r="AA37" s="57">
        <f t="shared" si="7"/>
        <v>-3.0000000027939677E-2</v>
      </c>
      <c r="AB37" s="18"/>
      <c r="AC37" s="61">
        <f t="shared" si="8"/>
        <v>12767</v>
      </c>
      <c r="AD37" s="63">
        <f t="shared" si="9"/>
        <v>1.3349938410638961E-2</v>
      </c>
      <c r="AE37" s="62">
        <f t="shared" si="10"/>
        <v>0.40117808143914474</v>
      </c>
      <c r="AF37" s="18"/>
      <c r="AG37" s="57"/>
      <c r="AH37" s="18"/>
      <c r="AI37" s="18"/>
    </row>
    <row r="38" spans="1:35" ht="25.5" x14ac:dyDescent="0.25">
      <c r="A38" s="64">
        <v>310000484</v>
      </c>
      <c r="B38" s="65">
        <v>310781406</v>
      </c>
      <c r="C38" s="55" t="s">
        <v>363</v>
      </c>
      <c r="D38" s="56" t="s">
        <v>342</v>
      </c>
      <c r="E38" s="57">
        <f>+VLOOKUP(A38,[1]Feuil1!$H$5:$O$64,6,FALSE)</f>
        <v>34135947</v>
      </c>
      <c r="F38" s="57"/>
      <c r="G38" s="58">
        <v>29491560</v>
      </c>
      <c r="H38" s="58">
        <v>5046396</v>
      </c>
      <c r="I38" s="57"/>
      <c r="J38" s="58">
        <f>+VLOOKUP(A38,[1]Feuil1!$H$5:$S$64,8,FALSE)</f>
        <v>30407854</v>
      </c>
      <c r="K38" s="58">
        <v>5378897.4199999999</v>
      </c>
      <c r="L38" s="59">
        <f t="shared" si="2"/>
        <v>0.84969584534588638</v>
      </c>
      <c r="M38" s="18"/>
      <c r="N38" s="18"/>
      <c r="O38" s="58">
        <v>30897553</v>
      </c>
      <c r="P38" s="58">
        <v>5378897</v>
      </c>
      <c r="Q38" s="57"/>
      <c r="R38" s="58">
        <v>33915337.770000003</v>
      </c>
      <c r="S38" s="58">
        <v>5896498</v>
      </c>
      <c r="T38" s="59">
        <f t="shared" si="11"/>
        <v>0.85189082879611211</v>
      </c>
      <c r="U38" s="60">
        <v>33915337</v>
      </c>
      <c r="V38" s="18"/>
      <c r="W38" s="57"/>
      <c r="X38" s="57">
        <f t="shared" si="4"/>
        <v>4423777</v>
      </c>
      <c r="Y38" s="57">
        <f t="shared" si="5"/>
        <v>3507483</v>
      </c>
      <c r="Z38" s="57">
        <f t="shared" si="6"/>
        <v>3017784</v>
      </c>
      <c r="AA38" s="57">
        <f t="shared" si="7"/>
        <v>-0.77000000327825546</v>
      </c>
      <c r="AB38" s="18"/>
      <c r="AC38" s="61">
        <f t="shared" si="8"/>
        <v>3017784</v>
      </c>
      <c r="AD38" s="62">
        <f t="shared" si="9"/>
        <v>9.7670647251580089E-2</v>
      </c>
      <c r="AE38" s="62">
        <f t="shared" si="10"/>
        <v>0.11534792951847243</v>
      </c>
      <c r="AF38" s="18"/>
      <c r="AG38" s="57">
        <v>33695707</v>
      </c>
      <c r="AH38" s="57">
        <f>+U38-AG38</f>
        <v>219630</v>
      </c>
      <c r="AI38" s="59">
        <f>+(AG38-O38)/O38</f>
        <v>9.0562317345972351E-2</v>
      </c>
    </row>
    <row r="39" spans="1:35" ht="38.25" x14ac:dyDescent="0.25">
      <c r="A39" s="64">
        <v>310781430</v>
      </c>
      <c r="B39" s="65">
        <v>310781430</v>
      </c>
      <c r="C39" s="55" t="s">
        <v>364</v>
      </c>
      <c r="D39" s="56" t="s">
        <v>346</v>
      </c>
      <c r="E39" s="57">
        <f>+VLOOKUP(A39,[1]Feuil1!$H$5:$O$64,6,FALSE)</f>
        <v>1468044</v>
      </c>
      <c r="F39" s="57"/>
      <c r="G39" s="58">
        <v>1153854</v>
      </c>
      <c r="H39" s="58">
        <v>474607</v>
      </c>
      <c r="I39" s="57"/>
      <c r="J39" s="58">
        <f>+VLOOKUP(A39,[1]Feuil1!$H$5:$S$64,8,FALSE)</f>
        <v>1166051</v>
      </c>
      <c r="K39" s="58">
        <v>528689.19999999995</v>
      </c>
      <c r="L39" s="59">
        <f t="shared" si="2"/>
        <v>0.68804115226628837</v>
      </c>
      <c r="M39" s="18"/>
      <c r="N39" s="18"/>
      <c r="O39" s="58">
        <v>1400273</v>
      </c>
      <c r="P39" s="58">
        <v>528689</v>
      </c>
      <c r="Q39" s="57"/>
      <c r="R39" s="58">
        <v>1313278.45</v>
      </c>
      <c r="S39" s="58">
        <v>547416</v>
      </c>
      <c r="T39" s="59">
        <f t="shared" si="11"/>
        <v>0.70580016509427435</v>
      </c>
      <c r="U39" s="60">
        <v>1313278</v>
      </c>
      <c r="V39" s="18"/>
      <c r="W39" s="57"/>
      <c r="X39" s="57">
        <f t="shared" si="4"/>
        <v>159424</v>
      </c>
      <c r="Y39" s="57">
        <f t="shared" si="5"/>
        <v>147227</v>
      </c>
      <c r="Z39" s="57">
        <f t="shared" si="6"/>
        <v>-86995</v>
      </c>
      <c r="AA39" s="57">
        <f t="shared" si="7"/>
        <v>-0.44999999995343387</v>
      </c>
      <c r="AB39" s="18"/>
      <c r="AC39" s="61">
        <f t="shared" si="8"/>
        <v>-86995</v>
      </c>
      <c r="AD39" s="63">
        <f t="shared" si="9"/>
        <v>-6.2127170915957104E-2</v>
      </c>
      <c r="AE39" s="62">
        <f t="shared" si="10"/>
        <v>0.12626120126821211</v>
      </c>
      <c r="AF39" s="18"/>
      <c r="AG39" s="57"/>
      <c r="AH39" s="18"/>
      <c r="AI39" s="18"/>
    </row>
    <row r="40" spans="1:35" ht="51" x14ac:dyDescent="0.25">
      <c r="A40" s="64">
        <v>310783097</v>
      </c>
      <c r="B40" s="65">
        <v>310783097</v>
      </c>
      <c r="C40" s="55" t="s">
        <v>365</v>
      </c>
      <c r="D40" s="56" t="s">
        <v>346</v>
      </c>
      <c r="E40" s="57">
        <f>+VLOOKUP(A40,[1]Feuil1!$H$5:$O$64,6,FALSE)</f>
        <v>2686841</v>
      </c>
      <c r="F40" s="57"/>
      <c r="G40" s="58">
        <v>2237091</v>
      </c>
      <c r="H40" s="58">
        <v>445344</v>
      </c>
      <c r="I40" s="57"/>
      <c r="J40" s="58">
        <f>+VLOOKUP(A40,[1]Feuil1!$H$5:$S$64,8,FALSE)</f>
        <v>2260105</v>
      </c>
      <c r="K40" s="58">
        <v>527491.34</v>
      </c>
      <c r="L40" s="59">
        <f t="shared" si="2"/>
        <v>0.81077197855698147</v>
      </c>
      <c r="M40" s="18"/>
      <c r="N40" s="18"/>
      <c r="O40" s="58">
        <v>2297468</v>
      </c>
      <c r="P40" s="58">
        <v>527491</v>
      </c>
      <c r="Q40" s="57"/>
      <c r="R40" s="58">
        <v>2328431.0699999998</v>
      </c>
      <c r="S40" s="58">
        <v>591444</v>
      </c>
      <c r="T40" s="59">
        <f t="shared" si="11"/>
        <v>0.7974420186408866</v>
      </c>
      <c r="U40" s="60">
        <v>2328431</v>
      </c>
      <c r="V40" s="18"/>
      <c r="W40" s="57"/>
      <c r="X40" s="57">
        <f t="shared" si="4"/>
        <v>91340</v>
      </c>
      <c r="Y40" s="57">
        <f t="shared" si="5"/>
        <v>68326</v>
      </c>
      <c r="Z40" s="57">
        <f t="shared" si="6"/>
        <v>30963</v>
      </c>
      <c r="AA40" s="57">
        <f t="shared" si="7"/>
        <v>-6.9999999832361937E-2</v>
      </c>
      <c r="AB40" s="18"/>
      <c r="AC40" s="61">
        <f t="shared" si="8"/>
        <v>30963</v>
      </c>
      <c r="AD40" s="63">
        <f t="shared" si="9"/>
        <v>1.3477010343560825E-2</v>
      </c>
      <c r="AE40" s="63">
        <f t="shared" si="10"/>
        <v>3.0231338809480091E-2</v>
      </c>
      <c r="AF40" s="18"/>
      <c r="AG40" s="57"/>
      <c r="AH40" s="18"/>
      <c r="AI40" s="18"/>
    </row>
    <row r="41" spans="1:35" ht="38.25" x14ac:dyDescent="0.25">
      <c r="A41" s="64">
        <v>310795463</v>
      </c>
      <c r="B41" s="65">
        <v>310795463</v>
      </c>
      <c r="C41" s="55" t="s">
        <v>366</v>
      </c>
      <c r="D41" s="56" t="s">
        <v>346</v>
      </c>
      <c r="E41" s="57">
        <f>+VLOOKUP(A41,[1]Feuil1!$H$5:$O$64,6,FALSE)</f>
        <v>2173292</v>
      </c>
      <c r="F41" s="57"/>
      <c r="G41" s="58">
        <v>1791131</v>
      </c>
      <c r="H41" s="58">
        <v>452563</v>
      </c>
      <c r="I41" s="57"/>
      <c r="J41" s="58">
        <f>+VLOOKUP(A41,[1]Feuil1!$H$5:$S$64,8,FALSE)</f>
        <v>1810122</v>
      </c>
      <c r="K41" s="58">
        <v>474455.72</v>
      </c>
      <c r="L41" s="59">
        <f t="shared" si="2"/>
        <v>0.79232235531037232</v>
      </c>
      <c r="M41" s="18"/>
      <c r="N41" s="18"/>
      <c r="O41" s="58">
        <v>1844200</v>
      </c>
      <c r="P41" s="58">
        <v>474455</v>
      </c>
      <c r="Q41" s="57"/>
      <c r="R41" s="58">
        <v>1868998.23</v>
      </c>
      <c r="S41" s="58">
        <v>474456</v>
      </c>
      <c r="T41" s="59">
        <f t="shared" si="11"/>
        <v>0.79753989050599039</v>
      </c>
      <c r="U41" s="60">
        <v>1868998</v>
      </c>
      <c r="V41" s="18"/>
      <c r="W41" s="57"/>
      <c r="X41" s="57">
        <f t="shared" si="4"/>
        <v>77867</v>
      </c>
      <c r="Y41" s="57">
        <f t="shared" si="5"/>
        <v>58876</v>
      </c>
      <c r="Z41" s="57">
        <f t="shared" si="6"/>
        <v>24798</v>
      </c>
      <c r="AA41" s="57">
        <f t="shared" si="7"/>
        <v>-0.22999999998137355</v>
      </c>
      <c r="AB41" s="18"/>
      <c r="AC41" s="61">
        <f t="shared" si="8"/>
        <v>24798</v>
      </c>
      <c r="AD41" s="63">
        <f t="shared" si="9"/>
        <v>1.3446480858909012E-2</v>
      </c>
      <c r="AE41" s="63">
        <f t="shared" si="10"/>
        <v>3.2525984436408154E-2</v>
      </c>
      <c r="AF41" s="18"/>
      <c r="AG41" s="57"/>
      <c r="AH41" s="18"/>
      <c r="AI41" s="18"/>
    </row>
    <row r="42" spans="1:35" ht="25.5" x14ac:dyDescent="0.25">
      <c r="A42" s="64">
        <v>320780109</v>
      </c>
      <c r="B42" s="65">
        <v>320780109</v>
      </c>
      <c r="C42" s="66" t="s">
        <v>367</v>
      </c>
      <c r="D42" s="56" t="s">
        <v>344</v>
      </c>
      <c r="E42" s="57">
        <f>+VLOOKUP(A42,[1]Feuil1!$H$5:$O$64,6,FALSE)</f>
        <v>2773185</v>
      </c>
      <c r="F42" s="57"/>
      <c r="G42" s="58">
        <v>624169</v>
      </c>
      <c r="H42" s="58">
        <v>2203709</v>
      </c>
      <c r="I42" s="57"/>
      <c r="J42" s="58">
        <f>+VLOOKUP(A42,[1]Feuil1!$H$5:$S$64,8,FALSE)</f>
        <v>646953</v>
      </c>
      <c r="K42" s="58">
        <v>2280511.0699999998</v>
      </c>
      <c r="L42" s="59">
        <f t="shared" si="2"/>
        <v>0.22099434340794491</v>
      </c>
      <c r="M42" s="18"/>
      <c r="N42" s="18"/>
      <c r="O42" s="58">
        <v>655289</v>
      </c>
      <c r="P42" s="58">
        <v>2280511</v>
      </c>
      <c r="Q42" s="57"/>
      <c r="R42" s="58">
        <v>697152.95</v>
      </c>
      <c r="S42" s="58">
        <v>2565860</v>
      </c>
      <c r="T42" s="59">
        <f t="shared" si="11"/>
        <v>0.21365313612990716</v>
      </c>
      <c r="U42" s="60">
        <v>697152</v>
      </c>
      <c r="V42" s="18"/>
      <c r="W42" s="57"/>
      <c r="X42" s="57">
        <f t="shared" si="4"/>
        <v>72983</v>
      </c>
      <c r="Y42" s="57">
        <f t="shared" si="5"/>
        <v>50199</v>
      </c>
      <c r="Z42" s="57">
        <f t="shared" si="6"/>
        <v>41863</v>
      </c>
      <c r="AA42" s="57">
        <f t="shared" si="7"/>
        <v>-0.94999999995343387</v>
      </c>
      <c r="AB42" s="18"/>
      <c r="AC42" s="61">
        <f t="shared" si="8"/>
        <v>41863</v>
      </c>
      <c r="AD42" s="62">
        <f t="shared" si="9"/>
        <v>6.3884789764516114E-2</v>
      </c>
      <c r="AE42" s="63">
        <f t="shared" si="10"/>
        <v>7.7592962703627616E-2</v>
      </c>
      <c r="AF42" s="18"/>
      <c r="AG42" s="57">
        <v>697152.95</v>
      </c>
      <c r="AH42" s="67">
        <f>+U42-AG42</f>
        <v>-0.94999999995343387</v>
      </c>
      <c r="AI42" s="59">
        <f>+(AG42-O42)/O42</f>
        <v>6.3886239506538267E-2</v>
      </c>
    </row>
    <row r="43" spans="1:35" ht="38.25" x14ac:dyDescent="0.25">
      <c r="A43" s="64">
        <v>320780125</v>
      </c>
      <c r="B43" s="65">
        <v>320780125</v>
      </c>
      <c r="C43" s="55" t="s">
        <v>368</v>
      </c>
      <c r="D43" s="56" t="s">
        <v>342</v>
      </c>
      <c r="E43" s="57">
        <f>+VLOOKUP(A43,[1]Feuil1!$H$5:$O$64,6,FALSE)</f>
        <v>34463805</v>
      </c>
      <c r="F43" s="57"/>
      <c r="G43" s="58">
        <v>28641821</v>
      </c>
      <c r="H43" s="58">
        <v>4281435</v>
      </c>
      <c r="I43" s="57"/>
      <c r="J43" s="58">
        <f>+VLOOKUP(A43,[1]Feuil1!$H$5:$S$64,8,FALSE)</f>
        <v>28940612</v>
      </c>
      <c r="K43" s="58">
        <v>4281435</v>
      </c>
      <c r="L43" s="59">
        <f t="shared" si="2"/>
        <v>0.87112669487223349</v>
      </c>
      <c r="M43" s="18"/>
      <c r="N43" s="18"/>
      <c r="O43" s="58">
        <v>29834816</v>
      </c>
      <c r="P43" s="58">
        <v>4281435</v>
      </c>
      <c r="Q43" s="57"/>
      <c r="R43" s="58">
        <v>30069533.219999999</v>
      </c>
      <c r="S43" s="58">
        <v>4281435</v>
      </c>
      <c r="T43" s="59">
        <f t="shared" si="11"/>
        <v>0.87536202844182887</v>
      </c>
      <c r="U43" s="60">
        <v>30069533</v>
      </c>
      <c r="V43" s="18"/>
      <c r="W43" s="57"/>
      <c r="X43" s="57">
        <f t="shared" si="4"/>
        <v>1427712</v>
      </c>
      <c r="Y43" s="57">
        <f t="shared" si="5"/>
        <v>1128921</v>
      </c>
      <c r="Z43" s="57">
        <f t="shared" si="6"/>
        <v>234717</v>
      </c>
      <c r="AA43" s="57">
        <f t="shared" si="7"/>
        <v>-0.2199999988079071</v>
      </c>
      <c r="AB43" s="18"/>
      <c r="AC43" s="61">
        <f t="shared" si="8"/>
        <v>234717</v>
      </c>
      <c r="AD43" s="63">
        <f t="shared" si="9"/>
        <v>7.8672179510006022E-3</v>
      </c>
      <c r="AE43" s="63">
        <f t="shared" si="10"/>
        <v>3.9008193745177194E-2</v>
      </c>
      <c r="AF43" s="18"/>
      <c r="AG43" s="57"/>
      <c r="AH43" s="18"/>
      <c r="AI43" s="18"/>
    </row>
    <row r="44" spans="1:35" ht="38.25" x14ac:dyDescent="0.25">
      <c r="A44" s="64">
        <v>340010149</v>
      </c>
      <c r="B44" s="65">
        <v>340010149</v>
      </c>
      <c r="C44" s="55" t="s">
        <v>369</v>
      </c>
      <c r="D44" s="56" t="s">
        <v>344</v>
      </c>
      <c r="E44" s="57">
        <f>+VLOOKUP(A44,[1]Feuil1!$H$5:$O$64,6,FALSE)</f>
        <v>4422775</v>
      </c>
      <c r="F44" s="57"/>
      <c r="G44" s="58">
        <v>410276</v>
      </c>
      <c r="H44" s="58">
        <v>3971506</v>
      </c>
      <c r="I44" s="57"/>
      <c r="J44" s="58">
        <f>+VLOOKUP(A44,[1]Feuil1!$H$5:$S$64,8,FALSE)</f>
        <v>414959</v>
      </c>
      <c r="K44" s="58">
        <v>4227418.25</v>
      </c>
      <c r="L44" s="59">
        <f t="shared" si="2"/>
        <v>8.9385023588938184E-2</v>
      </c>
      <c r="M44" s="18"/>
      <c r="N44" s="18"/>
      <c r="O44" s="58">
        <v>544683</v>
      </c>
      <c r="P44" s="58">
        <v>4227418</v>
      </c>
      <c r="Q44" s="57"/>
      <c r="R44" s="58">
        <v>552021.6</v>
      </c>
      <c r="S44" s="58">
        <v>4681465</v>
      </c>
      <c r="T44" s="59">
        <f t="shared" si="11"/>
        <v>0.10547874527853</v>
      </c>
      <c r="U44" s="60">
        <v>552021</v>
      </c>
      <c r="V44" s="18"/>
      <c r="W44" s="57"/>
      <c r="X44" s="57">
        <f t="shared" si="4"/>
        <v>141745</v>
      </c>
      <c r="Y44" s="57">
        <f t="shared" si="5"/>
        <v>137062</v>
      </c>
      <c r="Z44" s="57">
        <f t="shared" si="6"/>
        <v>7338</v>
      </c>
      <c r="AA44" s="57">
        <f t="shared" si="7"/>
        <v>-0.59999999997671694</v>
      </c>
      <c r="AB44" s="18"/>
      <c r="AC44" s="61">
        <f t="shared" si="8"/>
        <v>7338</v>
      </c>
      <c r="AD44" s="63">
        <f t="shared" si="9"/>
        <v>1.347205622352818E-2</v>
      </c>
      <c r="AE44" s="62">
        <f t="shared" si="10"/>
        <v>0.33030251181442022</v>
      </c>
      <c r="AF44" s="18"/>
      <c r="AG44" s="57"/>
      <c r="AH44" s="18"/>
      <c r="AI44" s="18"/>
    </row>
    <row r="45" spans="1:35" ht="51" x14ac:dyDescent="0.25">
      <c r="A45" s="64">
        <v>340000223</v>
      </c>
      <c r="B45" s="65">
        <v>340011295</v>
      </c>
      <c r="C45" s="55" t="s">
        <v>370</v>
      </c>
      <c r="D45" s="56" t="s">
        <v>342</v>
      </c>
      <c r="E45" s="57">
        <f>+VLOOKUP(A45,[1]Feuil1!$H$5:$O$64,6,FALSE)</f>
        <v>8279350</v>
      </c>
      <c r="F45" s="57"/>
      <c r="G45" s="58">
        <v>6953318</v>
      </c>
      <c r="H45" s="58">
        <v>1321995</v>
      </c>
      <c r="I45" s="57"/>
      <c r="J45" s="58">
        <f>+VLOOKUP(A45,[1]Feuil1!$H$5:$S$64,8,FALSE)</f>
        <v>7076878</v>
      </c>
      <c r="K45" s="58">
        <v>1345495</v>
      </c>
      <c r="L45" s="59">
        <f t="shared" si="2"/>
        <v>0.84024751694089062</v>
      </c>
      <c r="M45" s="18"/>
      <c r="N45" s="18"/>
      <c r="O45" s="58">
        <v>7258568</v>
      </c>
      <c r="P45" s="58">
        <v>1345495</v>
      </c>
      <c r="Q45" s="57"/>
      <c r="R45" s="58">
        <v>7441295.4100000001</v>
      </c>
      <c r="S45" s="58">
        <v>1345495</v>
      </c>
      <c r="T45" s="59">
        <f t="shared" si="11"/>
        <v>0.84687298351071061</v>
      </c>
      <c r="U45" s="60">
        <v>7441295</v>
      </c>
      <c r="V45" s="18"/>
      <c r="W45" s="57"/>
      <c r="X45" s="57">
        <f t="shared" si="4"/>
        <v>487977</v>
      </c>
      <c r="Y45" s="57">
        <f t="shared" si="5"/>
        <v>364417</v>
      </c>
      <c r="Z45" s="57">
        <f t="shared" si="6"/>
        <v>182727</v>
      </c>
      <c r="AA45" s="57">
        <f t="shared" si="7"/>
        <v>-0.41000000014901161</v>
      </c>
      <c r="AB45" s="18"/>
      <c r="AC45" s="61">
        <f t="shared" si="8"/>
        <v>182727</v>
      </c>
      <c r="AD45" s="62">
        <f t="shared" si="9"/>
        <v>2.5173973709414859E-2</v>
      </c>
      <c r="AE45" s="63">
        <f t="shared" si="10"/>
        <v>5.149403451635029E-2</v>
      </c>
      <c r="AF45" s="18"/>
      <c r="AG45" s="57">
        <v>7424382.5700000003</v>
      </c>
      <c r="AH45" s="57">
        <f>+U45-AG45</f>
        <v>16912.429999999702</v>
      </c>
      <c r="AI45" s="59">
        <f t="shared" ref="AI45:AI46" si="14">+(AG45-O45)/O45</f>
        <v>2.2843978316384208E-2</v>
      </c>
    </row>
    <row r="46" spans="1:35" x14ac:dyDescent="0.25">
      <c r="A46" s="64">
        <v>340780055</v>
      </c>
      <c r="B46" s="65">
        <v>340780055</v>
      </c>
      <c r="C46" s="55" t="s">
        <v>159</v>
      </c>
      <c r="D46" s="56" t="s">
        <v>342</v>
      </c>
      <c r="E46" s="57">
        <f>+VLOOKUP(A46,[1]Feuil1!$H$5:$O$64,6,FALSE)</f>
        <v>27798741</v>
      </c>
      <c r="F46" s="57"/>
      <c r="G46" s="58">
        <v>22237848</v>
      </c>
      <c r="H46" s="58">
        <v>4751604</v>
      </c>
      <c r="I46" s="57"/>
      <c r="J46" s="58">
        <f>+VLOOKUP(A46,[1]Feuil1!$H$5:$S$64,8,FALSE)</f>
        <v>22593377</v>
      </c>
      <c r="K46" s="58">
        <v>5284794.5599999996</v>
      </c>
      <c r="L46" s="59">
        <f t="shared" si="2"/>
        <v>0.81043252608493532</v>
      </c>
      <c r="M46" s="18"/>
      <c r="N46" s="18"/>
      <c r="O46" s="58">
        <v>23218706.370000001</v>
      </c>
      <c r="P46" s="58">
        <v>5284794.5599999996</v>
      </c>
      <c r="Q46" s="57"/>
      <c r="R46" s="58">
        <v>23623961.239999998</v>
      </c>
      <c r="S46" s="58">
        <v>5284795</v>
      </c>
      <c r="T46" s="59">
        <f t="shared" si="11"/>
        <v>0.81719050947312566</v>
      </c>
      <c r="U46" s="60">
        <v>23623961</v>
      </c>
      <c r="V46" s="18"/>
      <c r="W46" s="57"/>
      <c r="X46" s="57">
        <f t="shared" si="4"/>
        <v>1386113</v>
      </c>
      <c r="Y46" s="57">
        <f t="shared" si="5"/>
        <v>1030584</v>
      </c>
      <c r="Z46" s="57">
        <f t="shared" si="6"/>
        <v>405254.62999999896</v>
      </c>
      <c r="AA46" s="57">
        <f t="shared" si="7"/>
        <v>-0.23999999836087227</v>
      </c>
      <c r="AB46" s="18"/>
      <c r="AC46" s="61">
        <f t="shared" si="8"/>
        <v>405254.62999999896</v>
      </c>
      <c r="AD46" s="62">
        <f t="shared" si="9"/>
        <v>1.7453798826777573E-2</v>
      </c>
      <c r="AE46" s="63">
        <f t="shared" si="10"/>
        <v>4.5614429396720994E-2</v>
      </c>
      <c r="AF46" s="18"/>
      <c r="AG46" s="57">
        <v>23492662.370000001</v>
      </c>
      <c r="AH46" s="57">
        <f>+U46-AG46</f>
        <v>131298.62999999896</v>
      </c>
      <c r="AI46" s="59">
        <f t="shared" si="14"/>
        <v>1.1798934688022414E-2</v>
      </c>
    </row>
    <row r="47" spans="1:35" ht="25.5" x14ac:dyDescent="0.25">
      <c r="A47" s="64">
        <v>340780121</v>
      </c>
      <c r="B47" s="65">
        <v>340780121</v>
      </c>
      <c r="C47" s="55" t="s">
        <v>286</v>
      </c>
      <c r="D47" s="56" t="s">
        <v>344</v>
      </c>
      <c r="E47" s="57">
        <f>+VLOOKUP(A47,[1]Feuil1!$H$5:$O$64,6,FALSE)</f>
        <v>5741170</v>
      </c>
      <c r="F47" s="57"/>
      <c r="G47" s="58">
        <v>768588</v>
      </c>
      <c r="H47" s="58">
        <v>4793421</v>
      </c>
      <c r="I47" s="57"/>
      <c r="J47" s="58">
        <f>+VLOOKUP(A47,[1]Feuil1!$H$5:$S$64,8,FALSE)</f>
        <v>776361</v>
      </c>
      <c r="K47" s="58">
        <v>4793241</v>
      </c>
      <c r="L47" s="59">
        <f t="shared" si="2"/>
        <v>0.13939254546375127</v>
      </c>
      <c r="M47" s="18"/>
      <c r="N47" s="18"/>
      <c r="O47" s="58">
        <v>792418</v>
      </c>
      <c r="P47" s="58">
        <v>4793421</v>
      </c>
      <c r="Q47" s="57"/>
      <c r="R47" s="58">
        <v>803054.19</v>
      </c>
      <c r="S47" s="58">
        <v>4793421</v>
      </c>
      <c r="T47" s="59">
        <f t="shared" si="11"/>
        <v>0.14349285268608508</v>
      </c>
      <c r="U47" s="60">
        <v>803054</v>
      </c>
      <c r="V47" s="18"/>
      <c r="W47" s="57"/>
      <c r="X47" s="57">
        <f t="shared" si="4"/>
        <v>34466</v>
      </c>
      <c r="Y47" s="57">
        <f t="shared" si="5"/>
        <v>26693</v>
      </c>
      <c r="Z47" s="57">
        <f t="shared" si="6"/>
        <v>10636</v>
      </c>
      <c r="AA47" s="57">
        <f t="shared" si="7"/>
        <v>-0.18999999994412065</v>
      </c>
      <c r="AB47" s="18"/>
      <c r="AC47" s="61">
        <f t="shared" si="8"/>
        <v>10636</v>
      </c>
      <c r="AD47" s="63">
        <f t="shared" si="9"/>
        <v>1.3422208985661608E-2</v>
      </c>
      <c r="AE47" s="63">
        <f t="shared" si="10"/>
        <v>3.438220106368043E-2</v>
      </c>
      <c r="AF47" s="18"/>
      <c r="AG47" s="57"/>
      <c r="AH47" s="18"/>
      <c r="AI47" s="18"/>
    </row>
    <row r="48" spans="1:35" ht="38.25" x14ac:dyDescent="0.25">
      <c r="A48" s="64">
        <v>340780477</v>
      </c>
      <c r="B48" s="65">
        <v>340780477</v>
      </c>
      <c r="C48" s="55" t="s">
        <v>287</v>
      </c>
      <c r="D48" s="56" t="s">
        <v>342</v>
      </c>
      <c r="E48" s="57">
        <f>+VLOOKUP(A48,[1]Feuil1!$H$5:$O$64,6,FALSE)</f>
        <v>80956869</v>
      </c>
      <c r="F48" s="57"/>
      <c r="G48" s="58">
        <v>67022593</v>
      </c>
      <c r="H48" s="58">
        <v>11799889</v>
      </c>
      <c r="I48" s="57"/>
      <c r="J48" s="58">
        <f>+VLOOKUP(A48,[1]Feuil1!$H$5:$S$64,8,FALSE)</f>
        <v>68379355</v>
      </c>
      <c r="K48" s="58">
        <v>12150183.609999999</v>
      </c>
      <c r="L48" s="59">
        <f t="shared" si="2"/>
        <v>0.84912140539085101</v>
      </c>
      <c r="M48" s="18"/>
      <c r="N48" s="18"/>
      <c r="O48" s="58">
        <v>70582452</v>
      </c>
      <c r="P48" s="58">
        <v>12150183</v>
      </c>
      <c r="Q48" s="57"/>
      <c r="R48" s="58">
        <v>71361639.920000002</v>
      </c>
      <c r="S48" s="58">
        <v>13136576</v>
      </c>
      <c r="T48" s="59">
        <f t="shared" si="11"/>
        <v>0.8445342797244707</v>
      </c>
      <c r="U48" s="60">
        <v>71361639</v>
      </c>
      <c r="V48" s="18"/>
      <c r="W48" s="57"/>
      <c r="X48" s="57">
        <f t="shared" si="4"/>
        <v>4339046</v>
      </c>
      <c r="Y48" s="57">
        <f t="shared" si="5"/>
        <v>2982284</v>
      </c>
      <c r="Z48" s="57">
        <f t="shared" si="6"/>
        <v>779187</v>
      </c>
      <c r="AA48" s="57">
        <f t="shared" si="7"/>
        <v>-0.92000000178813934</v>
      </c>
      <c r="AB48" s="18"/>
      <c r="AC48" s="61">
        <f t="shared" si="8"/>
        <v>779187</v>
      </c>
      <c r="AD48" s="63">
        <f t="shared" si="9"/>
        <v>1.1039386956973384E-2</v>
      </c>
      <c r="AE48" s="63">
        <f t="shared" si="10"/>
        <v>4.3613807120584859E-2</v>
      </c>
      <c r="AF48" s="18"/>
      <c r="AG48" s="57"/>
      <c r="AH48" s="18"/>
      <c r="AI48" s="18"/>
    </row>
    <row r="49" spans="1:35" ht="25.5" x14ac:dyDescent="0.25">
      <c r="A49" s="64">
        <v>340780758</v>
      </c>
      <c r="B49" s="65">
        <v>340780758</v>
      </c>
      <c r="C49" s="55" t="s">
        <v>288</v>
      </c>
      <c r="D49" s="56" t="s">
        <v>344</v>
      </c>
      <c r="E49" s="57">
        <f>+VLOOKUP(A49,[1]Feuil1!$H$5:$O$64,6,FALSE)</f>
        <v>10333507</v>
      </c>
      <c r="F49" s="57"/>
      <c r="G49" s="58">
        <v>1430338</v>
      </c>
      <c r="H49" s="58">
        <v>8414106</v>
      </c>
      <c r="I49" s="57"/>
      <c r="J49" s="58">
        <f>+VLOOKUP(A49,[1]Feuil1!$H$5:$S$64,8,FALSE)</f>
        <v>1446193</v>
      </c>
      <c r="K49" s="58">
        <v>8683856.1899999995</v>
      </c>
      <c r="L49" s="59">
        <f t="shared" si="2"/>
        <v>0.14276268287301377</v>
      </c>
      <c r="M49" s="18"/>
      <c r="N49" s="18"/>
      <c r="O49" s="58">
        <v>1474390</v>
      </c>
      <c r="P49" s="58">
        <v>8683856</v>
      </c>
      <c r="Q49" s="57"/>
      <c r="R49" s="58">
        <v>1494202.15</v>
      </c>
      <c r="S49" s="58">
        <v>8877254</v>
      </c>
      <c r="T49" s="59">
        <f t="shared" si="11"/>
        <v>0.14406869473193501</v>
      </c>
      <c r="U49" s="60">
        <v>1494202</v>
      </c>
      <c r="V49" s="18"/>
      <c r="W49" s="57"/>
      <c r="X49" s="57">
        <f t="shared" si="4"/>
        <v>63864</v>
      </c>
      <c r="Y49" s="57">
        <f t="shared" si="5"/>
        <v>48009</v>
      </c>
      <c r="Z49" s="57">
        <f t="shared" si="6"/>
        <v>19812</v>
      </c>
      <c r="AA49" s="57">
        <f t="shared" si="7"/>
        <v>-0.14999999990686774</v>
      </c>
      <c r="AB49" s="18"/>
      <c r="AC49" s="61">
        <f t="shared" si="8"/>
        <v>19812</v>
      </c>
      <c r="AD49" s="63">
        <f t="shared" si="9"/>
        <v>1.3437421577737235E-2</v>
      </c>
      <c r="AE49" s="63">
        <f t="shared" si="10"/>
        <v>3.3196813979876824E-2</v>
      </c>
      <c r="AF49" s="18"/>
      <c r="AG49" s="57"/>
      <c r="AH49" s="18"/>
      <c r="AI49" s="18"/>
    </row>
    <row r="50" spans="1:35" ht="25.5" x14ac:dyDescent="0.25">
      <c r="A50" s="64">
        <v>340780766</v>
      </c>
      <c r="B50" s="65">
        <v>340780766</v>
      </c>
      <c r="C50" s="55" t="s">
        <v>289</v>
      </c>
      <c r="D50" s="56" t="s">
        <v>344</v>
      </c>
      <c r="E50" s="57">
        <f>+VLOOKUP(A50,[1]Feuil1!$H$5:$O$64,6,FALSE)</f>
        <v>6234661</v>
      </c>
      <c r="F50" s="57"/>
      <c r="G50" s="58">
        <v>584232</v>
      </c>
      <c r="H50" s="58">
        <v>5657420</v>
      </c>
      <c r="I50" s="57"/>
      <c r="J50" s="58">
        <f>+VLOOKUP(A50,[1]Feuil1!$H$5:$S$64,8,FALSE)</f>
        <v>591001</v>
      </c>
      <c r="K50" s="58">
        <v>5670840.8200000003</v>
      </c>
      <c r="L50" s="59">
        <f t="shared" si="2"/>
        <v>9.4381336512265962E-2</v>
      </c>
      <c r="M50" s="18"/>
      <c r="N50" s="18"/>
      <c r="O50" s="58">
        <v>789742</v>
      </c>
      <c r="P50" s="58">
        <v>5670840</v>
      </c>
      <c r="Q50" s="57"/>
      <c r="R50" s="58">
        <v>800257.09</v>
      </c>
      <c r="S50" s="58">
        <v>5670841</v>
      </c>
      <c r="T50" s="59">
        <f t="shared" si="11"/>
        <v>0.12366635134717915</v>
      </c>
      <c r="U50" s="60">
        <v>800257</v>
      </c>
      <c r="V50" s="18"/>
      <c r="W50" s="57"/>
      <c r="X50" s="57">
        <f t="shared" si="4"/>
        <v>216025</v>
      </c>
      <c r="Y50" s="57">
        <f t="shared" si="5"/>
        <v>209256</v>
      </c>
      <c r="Z50" s="57">
        <f t="shared" si="6"/>
        <v>10515</v>
      </c>
      <c r="AA50" s="57">
        <f t="shared" si="7"/>
        <v>-8.999999996740371E-2</v>
      </c>
      <c r="AB50" s="18"/>
      <c r="AC50" s="61">
        <f t="shared" si="8"/>
        <v>10515</v>
      </c>
      <c r="AD50" s="63">
        <f t="shared" si="9"/>
        <v>1.3314474853813017E-2</v>
      </c>
      <c r="AE50" s="62">
        <f t="shared" si="10"/>
        <v>0.35407046688584282</v>
      </c>
      <c r="AF50" s="18"/>
      <c r="AG50" s="57"/>
      <c r="AH50" s="18"/>
      <c r="AI50" s="18"/>
    </row>
    <row r="51" spans="1:35" ht="25.5" x14ac:dyDescent="0.25">
      <c r="A51" s="64">
        <v>340780782</v>
      </c>
      <c r="B51" s="65">
        <v>340780782</v>
      </c>
      <c r="C51" s="55" t="s">
        <v>290</v>
      </c>
      <c r="D51" s="56" t="s">
        <v>344</v>
      </c>
      <c r="E51" s="57">
        <f>+VLOOKUP(A51,[1]Feuil1!$H$5:$O$64,6,FALSE)</f>
        <v>7807716</v>
      </c>
      <c r="F51" s="57"/>
      <c r="G51" s="58">
        <v>1312225</v>
      </c>
      <c r="H51" s="58">
        <v>6001074</v>
      </c>
      <c r="I51" s="57"/>
      <c r="J51" s="58">
        <f>+VLOOKUP(A51,[1]Feuil1!$H$5:$S$64,8,FALSE)</f>
        <v>1324742</v>
      </c>
      <c r="K51" s="58">
        <v>6493712.8099999996</v>
      </c>
      <c r="L51" s="59">
        <f t="shared" si="2"/>
        <v>0.16943782783084221</v>
      </c>
      <c r="M51" s="18"/>
      <c r="N51" s="18"/>
      <c r="O51" s="58">
        <v>1352354</v>
      </c>
      <c r="P51" s="58">
        <v>6493712</v>
      </c>
      <c r="Q51" s="57"/>
      <c r="R51" s="58">
        <v>1370503.42</v>
      </c>
      <c r="S51" s="58">
        <v>6998211</v>
      </c>
      <c r="T51" s="59">
        <f t="shared" si="11"/>
        <v>0.16376510790291729</v>
      </c>
      <c r="U51" s="60">
        <v>1370503</v>
      </c>
      <c r="V51" s="18"/>
      <c r="W51" s="57"/>
      <c r="X51" s="57">
        <f t="shared" si="4"/>
        <v>58278</v>
      </c>
      <c r="Y51" s="57">
        <f t="shared" si="5"/>
        <v>45761</v>
      </c>
      <c r="Z51" s="57">
        <f t="shared" si="6"/>
        <v>18149</v>
      </c>
      <c r="AA51" s="57">
        <f t="shared" si="7"/>
        <v>-0.41999999992549419</v>
      </c>
      <c r="AB51" s="18"/>
      <c r="AC51" s="61">
        <f t="shared" si="8"/>
        <v>18149</v>
      </c>
      <c r="AD51" s="63">
        <f t="shared" si="9"/>
        <v>1.3420302672229312E-2</v>
      </c>
      <c r="AE51" s="63">
        <f t="shared" si="10"/>
        <v>3.454332994651034E-2</v>
      </c>
      <c r="AF51" s="18"/>
      <c r="AG51" s="57"/>
      <c r="AH51" s="18"/>
      <c r="AI51" s="18"/>
    </row>
    <row r="52" spans="1:35" ht="38.25" x14ac:dyDescent="0.25">
      <c r="A52" s="64">
        <v>340780790</v>
      </c>
      <c r="B52" s="65">
        <v>340780790</v>
      </c>
      <c r="C52" s="55" t="s">
        <v>291</v>
      </c>
      <c r="D52" s="56" t="s">
        <v>344</v>
      </c>
      <c r="E52" s="57">
        <f>+VLOOKUP(A52,[1]Feuil1!$H$5:$O$64,6,FALSE)</f>
        <v>4075223</v>
      </c>
      <c r="F52" s="57"/>
      <c r="G52" s="58">
        <v>525635</v>
      </c>
      <c r="H52" s="58">
        <v>3429249</v>
      </c>
      <c r="I52" s="57"/>
      <c r="J52" s="58">
        <f>+VLOOKUP(A52,[1]Feuil1!$H$5:$S$64,8,FALSE)</f>
        <v>532533</v>
      </c>
      <c r="K52" s="58">
        <v>3820596.41</v>
      </c>
      <c r="L52" s="59">
        <f t="shared" si="2"/>
        <v>0.12233337211998942</v>
      </c>
      <c r="M52" s="18"/>
      <c r="N52" s="18"/>
      <c r="O52" s="58">
        <v>546374</v>
      </c>
      <c r="P52" s="58">
        <v>3820596</v>
      </c>
      <c r="Q52" s="57"/>
      <c r="R52" s="58">
        <v>553670.62</v>
      </c>
      <c r="S52" s="58">
        <v>4257049</v>
      </c>
      <c r="T52" s="59">
        <f t="shared" si="11"/>
        <v>0.11509101833708613</v>
      </c>
      <c r="U52" s="60">
        <v>553670</v>
      </c>
      <c r="V52" s="18"/>
      <c r="W52" s="57"/>
      <c r="X52" s="57">
        <f t="shared" si="4"/>
        <v>28035</v>
      </c>
      <c r="Y52" s="57">
        <f t="shared" si="5"/>
        <v>21137</v>
      </c>
      <c r="Z52" s="57">
        <f t="shared" si="6"/>
        <v>7296</v>
      </c>
      <c r="AA52" s="57">
        <f t="shared" si="7"/>
        <v>-0.61999999999534339</v>
      </c>
      <c r="AB52" s="18"/>
      <c r="AC52" s="61">
        <f t="shared" si="8"/>
        <v>7296</v>
      </c>
      <c r="AD52" s="63">
        <f t="shared" si="9"/>
        <v>1.3353490466237412E-2</v>
      </c>
      <c r="AE52" s="63">
        <f t="shared" si="10"/>
        <v>3.9691436962591989E-2</v>
      </c>
      <c r="AF52" s="18"/>
      <c r="AG52" s="57"/>
      <c r="AH52" s="18"/>
      <c r="AI52" s="18"/>
    </row>
    <row r="53" spans="1:35" ht="38.25" x14ac:dyDescent="0.25">
      <c r="A53" s="64">
        <v>340780931</v>
      </c>
      <c r="B53" s="65">
        <v>340780931</v>
      </c>
      <c r="C53" s="55" t="s">
        <v>371</v>
      </c>
      <c r="D53" s="56" t="s">
        <v>344</v>
      </c>
      <c r="E53" s="57">
        <f>+VLOOKUP(A53,[1]Feuil1!$H$5:$O$64,6,FALSE)</f>
        <v>5858045</v>
      </c>
      <c r="F53" s="57"/>
      <c r="G53" s="58">
        <v>1032475</v>
      </c>
      <c r="H53" s="58">
        <v>4419543</v>
      </c>
      <c r="I53" s="57"/>
      <c r="J53" s="58">
        <f>+VLOOKUP(A53,[1]Feuil1!$H$5:$S$64,8,FALSE)</f>
        <v>1042585</v>
      </c>
      <c r="K53" s="58">
        <v>4419543</v>
      </c>
      <c r="L53" s="59">
        <f t="shared" si="2"/>
        <v>0.1908752412978971</v>
      </c>
      <c r="M53" s="18"/>
      <c r="N53" s="18"/>
      <c r="O53" s="58">
        <v>1058516</v>
      </c>
      <c r="P53" s="58">
        <v>4419543</v>
      </c>
      <c r="Q53" s="57"/>
      <c r="R53" s="58">
        <v>1072799.56</v>
      </c>
      <c r="S53" s="58">
        <v>5026329</v>
      </c>
      <c r="T53" s="59">
        <f t="shared" si="11"/>
        <v>0.17589390835860655</v>
      </c>
      <c r="U53" s="60">
        <v>1072799</v>
      </c>
      <c r="V53" s="18"/>
      <c r="W53" s="57"/>
      <c r="X53" s="57">
        <f t="shared" si="4"/>
        <v>40324</v>
      </c>
      <c r="Y53" s="57">
        <f t="shared" si="5"/>
        <v>30214</v>
      </c>
      <c r="Z53" s="57">
        <f t="shared" si="6"/>
        <v>14283</v>
      </c>
      <c r="AA53" s="57">
        <f t="shared" si="7"/>
        <v>-0.56000000005587935</v>
      </c>
      <c r="AB53" s="18"/>
      <c r="AC53" s="61">
        <f t="shared" si="8"/>
        <v>14283</v>
      </c>
      <c r="AD53" s="63">
        <f t="shared" si="9"/>
        <v>1.3493419088610847E-2</v>
      </c>
      <c r="AE53" s="63">
        <f t="shared" si="10"/>
        <v>2.8979891327805405E-2</v>
      </c>
      <c r="AF53" s="18"/>
      <c r="AG53" s="57"/>
      <c r="AH53" s="18"/>
      <c r="AI53" s="18"/>
    </row>
    <row r="54" spans="1:35" ht="25.5" x14ac:dyDescent="0.25">
      <c r="A54" s="68">
        <v>460780554</v>
      </c>
      <c r="B54" s="65">
        <v>460780554</v>
      </c>
      <c r="C54" s="55" t="s">
        <v>293</v>
      </c>
      <c r="D54" s="56" t="s">
        <v>346</v>
      </c>
      <c r="E54" s="57">
        <f>+VLOOKUP(A54,[1]Feuil1!$H$5:$O$64,6,FALSE)</f>
        <v>41100622</v>
      </c>
      <c r="F54" s="57"/>
      <c r="G54" s="58">
        <v>35560517</v>
      </c>
      <c r="H54" s="58">
        <v>5066333</v>
      </c>
      <c r="I54" s="57"/>
      <c r="J54" s="58">
        <f>+VLOOKUP(A54,[1]Feuil1!$H$5:$S$64,8,FALSE)</f>
        <v>35932637</v>
      </c>
      <c r="K54" s="58">
        <v>5206143.67</v>
      </c>
      <c r="L54" s="59">
        <f t="shared" si="2"/>
        <v>0.87344924703136562</v>
      </c>
      <c r="M54" s="18"/>
      <c r="N54" s="18"/>
      <c r="O54" s="58">
        <v>36699327</v>
      </c>
      <c r="P54" s="58">
        <v>5206143</v>
      </c>
      <c r="Q54" s="57"/>
      <c r="R54" s="58">
        <v>37138465.049999997</v>
      </c>
      <c r="S54" s="58">
        <v>5470626</v>
      </c>
      <c r="T54" s="59">
        <f t="shared" si="11"/>
        <v>0.87160894857906146</v>
      </c>
      <c r="U54" s="60">
        <v>37138465</v>
      </c>
      <c r="V54" s="18"/>
      <c r="W54" s="57"/>
      <c r="X54" s="57">
        <f t="shared" si="4"/>
        <v>1577948</v>
      </c>
      <c r="Y54" s="57">
        <f t="shared" si="5"/>
        <v>1205828</v>
      </c>
      <c r="Z54" s="57">
        <f t="shared" si="6"/>
        <v>439138</v>
      </c>
      <c r="AA54" s="57">
        <f t="shared" si="7"/>
        <v>-4.9999997019767761E-2</v>
      </c>
      <c r="AB54" s="18"/>
      <c r="AC54" s="61">
        <f t="shared" si="8"/>
        <v>439138</v>
      </c>
      <c r="AD54" s="63">
        <f t="shared" si="9"/>
        <v>1.1965832506955782E-2</v>
      </c>
      <c r="AE54" s="63">
        <f t="shared" si="10"/>
        <v>3.3558015794944301E-2</v>
      </c>
      <c r="AF54" s="18"/>
      <c r="AG54" s="57"/>
      <c r="AH54" s="18"/>
      <c r="AI54" s="18"/>
    </row>
    <row r="55" spans="1:35" ht="25.5" x14ac:dyDescent="0.25">
      <c r="A55" s="64">
        <v>480000058</v>
      </c>
      <c r="B55" s="65">
        <v>480780147</v>
      </c>
      <c r="C55" s="55" t="s">
        <v>372</v>
      </c>
      <c r="D55" s="56" t="s">
        <v>342</v>
      </c>
      <c r="E55" s="57">
        <f>+VLOOKUP(A55,[1]Feuil1!$H$5:$O$64,6,FALSE)</f>
        <v>24986059</v>
      </c>
      <c r="F55" s="57"/>
      <c r="G55" s="58">
        <v>21895896</v>
      </c>
      <c r="H55" s="58">
        <v>2948277</v>
      </c>
      <c r="I55" s="57"/>
      <c r="J55" s="58">
        <f>+VLOOKUP(A55,[1]Feuil1!$H$5:$S$64,8,FALSE)</f>
        <v>22123834</v>
      </c>
      <c r="K55" s="58">
        <v>2948277</v>
      </c>
      <c r="L55" s="59">
        <f t="shared" si="2"/>
        <v>0.8824081067605356</v>
      </c>
      <c r="M55" s="18"/>
      <c r="N55" s="18"/>
      <c r="O55" s="58">
        <v>22633886</v>
      </c>
      <c r="P55" s="58">
        <v>2948277</v>
      </c>
      <c r="Q55" s="57"/>
      <c r="R55" s="58">
        <v>22924081.989999998</v>
      </c>
      <c r="S55" s="58">
        <v>2948277</v>
      </c>
      <c r="T55" s="59">
        <f t="shared" si="11"/>
        <v>0.88604529640534335</v>
      </c>
      <c r="U55" s="60">
        <v>22924081</v>
      </c>
      <c r="V55" s="18"/>
      <c r="W55" s="57"/>
      <c r="X55" s="57">
        <f t="shared" si="4"/>
        <v>1028185</v>
      </c>
      <c r="Y55" s="57">
        <f t="shared" si="5"/>
        <v>800247</v>
      </c>
      <c r="Z55" s="57">
        <f t="shared" si="6"/>
        <v>290195</v>
      </c>
      <c r="AA55" s="57">
        <f t="shared" si="7"/>
        <v>-0.98999999836087227</v>
      </c>
      <c r="AB55" s="18"/>
      <c r="AC55" s="61">
        <f t="shared" si="8"/>
        <v>290195</v>
      </c>
      <c r="AD55" s="63">
        <f t="shared" si="9"/>
        <v>1.2821262773878069E-2</v>
      </c>
      <c r="AE55" s="63">
        <f t="shared" si="10"/>
        <v>3.6171262178155923E-2</v>
      </c>
      <c r="AF55" s="18"/>
      <c r="AG55" s="57"/>
      <c r="AH55" s="18"/>
      <c r="AI55" s="18"/>
    </row>
    <row r="56" spans="1:35" ht="25.5" x14ac:dyDescent="0.25">
      <c r="A56" s="64">
        <v>650000060</v>
      </c>
      <c r="B56" s="65">
        <v>650780174</v>
      </c>
      <c r="C56" s="55" t="s">
        <v>373</v>
      </c>
      <c r="D56" s="56" t="s">
        <v>342</v>
      </c>
      <c r="E56" s="57">
        <f>+VLOOKUP(A56,[1]Feuil1!$H$5:$O$64,6,FALSE)</f>
        <v>49278742</v>
      </c>
      <c r="F56" s="57"/>
      <c r="G56" s="58">
        <v>40848882</v>
      </c>
      <c r="H56" s="58">
        <v>8216689</v>
      </c>
      <c r="I56" s="57"/>
      <c r="J56" s="58">
        <f>+VLOOKUP(A56,[1]Feuil1!$H$5:$S$64,8,FALSE)</f>
        <v>41278011</v>
      </c>
      <c r="K56" s="58">
        <v>8493003</v>
      </c>
      <c r="L56" s="59">
        <f t="shared" si="2"/>
        <v>0.82935844947824455</v>
      </c>
      <c r="M56" s="18"/>
      <c r="N56" s="18"/>
      <c r="O56" s="58">
        <v>42105883</v>
      </c>
      <c r="P56" s="58">
        <v>8493003</v>
      </c>
      <c r="Q56" s="57"/>
      <c r="R56" s="58">
        <v>42663201</v>
      </c>
      <c r="S56" s="58">
        <v>8968463</v>
      </c>
      <c r="T56" s="59">
        <f t="shared" si="11"/>
        <v>0.82629916789046354</v>
      </c>
      <c r="U56" s="60">
        <v>42663201</v>
      </c>
      <c r="V56" s="18"/>
      <c r="W56" s="57"/>
      <c r="X56" s="57">
        <f t="shared" si="4"/>
        <v>1814319</v>
      </c>
      <c r="Y56" s="57">
        <f t="shared" si="5"/>
        <v>1385190</v>
      </c>
      <c r="Z56" s="57">
        <f t="shared" si="6"/>
        <v>557318</v>
      </c>
      <c r="AA56" s="57">
        <f t="shared" si="7"/>
        <v>0</v>
      </c>
      <c r="AB56" s="18"/>
      <c r="AC56" s="61">
        <f t="shared" si="8"/>
        <v>557318</v>
      </c>
      <c r="AD56" s="63">
        <f t="shared" si="9"/>
        <v>1.3236107647950288E-2</v>
      </c>
      <c r="AE56" s="63">
        <f t="shared" si="10"/>
        <v>3.355757621170264E-2</v>
      </c>
      <c r="AF56" s="18"/>
      <c r="AG56" s="57"/>
      <c r="AH56" s="18"/>
      <c r="AI56" s="18"/>
    </row>
    <row r="57" spans="1:35" ht="25.5" x14ac:dyDescent="0.25">
      <c r="A57" s="64">
        <v>650780729</v>
      </c>
      <c r="B57" s="65">
        <v>650780729</v>
      </c>
      <c r="C57" s="55" t="s">
        <v>374</v>
      </c>
      <c r="D57" s="56" t="s">
        <v>344</v>
      </c>
      <c r="E57" s="57">
        <f>+VLOOKUP(A57,[1]Feuil1!$H$5:$O$64,6,FALSE)</f>
        <v>2563548</v>
      </c>
      <c r="F57" s="57"/>
      <c r="G57" s="58">
        <v>409394</v>
      </c>
      <c r="H57" s="58">
        <v>2084884</v>
      </c>
      <c r="I57" s="57"/>
      <c r="J57" s="58">
        <f>+VLOOKUP(A57,[1]Feuil1!$H$5:$S$64,8,FALSE)</f>
        <v>413215</v>
      </c>
      <c r="K57" s="58">
        <v>2084884</v>
      </c>
      <c r="L57" s="59">
        <f t="shared" si="2"/>
        <v>0.16541177911684043</v>
      </c>
      <c r="M57" s="18"/>
      <c r="N57" s="18"/>
      <c r="O57" s="58">
        <v>421711</v>
      </c>
      <c r="P57" s="58">
        <v>2084884</v>
      </c>
      <c r="Q57" s="57"/>
      <c r="R57" s="58">
        <v>427372.83</v>
      </c>
      <c r="S57" s="58">
        <v>2084884</v>
      </c>
      <c r="T57" s="59">
        <f t="shared" si="11"/>
        <v>0.17011510323966361</v>
      </c>
      <c r="U57" s="60">
        <v>427372</v>
      </c>
      <c r="V57" s="18"/>
      <c r="W57" s="57"/>
      <c r="X57" s="57">
        <f t="shared" si="4"/>
        <v>17978</v>
      </c>
      <c r="Y57" s="57">
        <f t="shared" si="5"/>
        <v>14157</v>
      </c>
      <c r="Z57" s="57">
        <f t="shared" si="6"/>
        <v>5661</v>
      </c>
      <c r="AA57" s="57">
        <f t="shared" si="7"/>
        <v>-0.83000000001629815</v>
      </c>
      <c r="AB57" s="18"/>
      <c r="AC57" s="61">
        <f t="shared" si="8"/>
        <v>5661</v>
      </c>
      <c r="AD57" s="63">
        <f t="shared" si="9"/>
        <v>1.3423885077695388E-2</v>
      </c>
      <c r="AE57" s="63">
        <f t="shared" si="10"/>
        <v>3.4260614934114204E-2</v>
      </c>
      <c r="AF57" s="18"/>
      <c r="AG57" s="57"/>
      <c r="AH57" s="18"/>
      <c r="AI57" s="18"/>
    </row>
    <row r="58" spans="1:35" ht="25.5" x14ac:dyDescent="0.25">
      <c r="A58" s="64">
        <v>650780737</v>
      </c>
      <c r="B58" s="65">
        <v>650780737</v>
      </c>
      <c r="C58" s="55" t="s">
        <v>375</v>
      </c>
      <c r="D58" s="56" t="s">
        <v>344</v>
      </c>
      <c r="E58" s="57">
        <f>+VLOOKUP(A58,[1]Feuil1!$H$5:$O$64,6,FALSE)</f>
        <v>1831825</v>
      </c>
      <c r="F58" s="57"/>
      <c r="G58" s="58">
        <v>317345</v>
      </c>
      <c r="H58" s="58">
        <v>1467840</v>
      </c>
      <c r="I58" s="57"/>
      <c r="J58" s="58">
        <f>+VLOOKUP(A58,[1]Feuil1!$H$5:$S$64,8,FALSE)</f>
        <v>320467</v>
      </c>
      <c r="K58" s="58">
        <v>1467840</v>
      </c>
      <c r="L58" s="59">
        <f t="shared" si="2"/>
        <v>0.17920133399913996</v>
      </c>
      <c r="M58" s="18"/>
      <c r="N58" s="18"/>
      <c r="O58" s="58">
        <v>328877</v>
      </c>
      <c r="P58" s="58">
        <v>1467840</v>
      </c>
      <c r="Q58" s="57"/>
      <c r="R58" s="58">
        <v>333267.03999999998</v>
      </c>
      <c r="S58" s="58">
        <v>1467840</v>
      </c>
      <c r="T58" s="59">
        <f t="shared" si="11"/>
        <v>0.1850345551922333</v>
      </c>
      <c r="U58" s="60">
        <v>333267</v>
      </c>
      <c r="V58" s="18"/>
      <c r="W58" s="57"/>
      <c r="X58" s="57">
        <f t="shared" si="4"/>
        <v>15922</v>
      </c>
      <c r="Y58" s="57">
        <f t="shared" si="5"/>
        <v>12800</v>
      </c>
      <c r="Z58" s="57">
        <f t="shared" si="6"/>
        <v>4390</v>
      </c>
      <c r="AA58" s="57">
        <f t="shared" si="7"/>
        <v>-3.9999999979045242E-2</v>
      </c>
      <c r="AB58" s="18"/>
      <c r="AC58" s="61">
        <f t="shared" si="8"/>
        <v>4390</v>
      </c>
      <c r="AD58" s="63">
        <f t="shared" si="9"/>
        <v>1.3348455501600902E-2</v>
      </c>
      <c r="AE58" s="63">
        <f t="shared" si="10"/>
        <v>3.994171006687116E-2</v>
      </c>
      <c r="AF58" s="18"/>
      <c r="AG58" s="57"/>
      <c r="AH58" s="18"/>
      <c r="AI58" s="18"/>
    </row>
    <row r="59" spans="1:35" ht="51" x14ac:dyDescent="0.25">
      <c r="A59" s="64">
        <v>660000092</v>
      </c>
      <c r="B59" s="65">
        <v>660780198</v>
      </c>
      <c r="C59" s="55" t="s">
        <v>376</v>
      </c>
      <c r="D59" s="56" t="s">
        <v>342</v>
      </c>
      <c r="E59" s="57">
        <f>+VLOOKUP(A59,[1]Feuil1!$H$5:$O$64,6,FALSE)</f>
        <v>65187035</v>
      </c>
      <c r="F59" s="57"/>
      <c r="G59" s="58">
        <v>52720476</v>
      </c>
      <c r="H59" s="58">
        <v>9014418</v>
      </c>
      <c r="I59" s="57"/>
      <c r="J59" s="58">
        <f>+VLOOKUP(A59,[1]Feuil1!$H$5:$S$64,8,FALSE)</f>
        <v>53727065</v>
      </c>
      <c r="K59" s="58">
        <v>9481783.7699999996</v>
      </c>
      <c r="L59" s="59">
        <f t="shared" si="2"/>
        <v>0.84999277862975076</v>
      </c>
      <c r="M59" s="18"/>
      <c r="N59" s="18"/>
      <c r="O59" s="58">
        <v>55269647</v>
      </c>
      <c r="P59" s="58">
        <v>9481783</v>
      </c>
      <c r="Q59" s="57"/>
      <c r="R59" s="58">
        <v>56056815.32</v>
      </c>
      <c r="S59" s="58">
        <v>9673640</v>
      </c>
      <c r="T59" s="59">
        <f t="shared" si="11"/>
        <v>0.85282864765039024</v>
      </c>
      <c r="U59" s="60">
        <v>56056815</v>
      </c>
      <c r="V59" s="18"/>
      <c r="W59" s="57"/>
      <c r="X59" s="57">
        <f t="shared" si="4"/>
        <v>3336339</v>
      </c>
      <c r="Y59" s="57">
        <f t="shared" si="5"/>
        <v>2329750</v>
      </c>
      <c r="Z59" s="57">
        <f t="shared" si="6"/>
        <v>787168</v>
      </c>
      <c r="AA59" s="57">
        <f t="shared" si="7"/>
        <v>-0.32000000029802322</v>
      </c>
      <c r="AB59" s="18"/>
      <c r="AC59" s="61">
        <f t="shared" si="8"/>
        <v>787168</v>
      </c>
      <c r="AD59" s="63">
        <f t="shared" si="9"/>
        <v>1.4242320020607333E-2</v>
      </c>
      <c r="AE59" s="63">
        <f t="shared" si="10"/>
        <v>4.3362688804981252E-2</v>
      </c>
      <c r="AF59" s="18"/>
      <c r="AG59" s="57"/>
      <c r="AH59" s="18"/>
      <c r="AI59" s="18"/>
    </row>
    <row r="60" spans="1:35" ht="25.5" x14ac:dyDescent="0.25">
      <c r="A60" s="64">
        <v>660780214</v>
      </c>
      <c r="B60" s="65">
        <v>660780214</v>
      </c>
      <c r="C60" s="55" t="s">
        <v>377</v>
      </c>
      <c r="D60" s="56" t="s">
        <v>344</v>
      </c>
      <c r="E60" s="57">
        <f>+VLOOKUP(A60,[1]Feuil1!$H$5:$O$64,6,FALSE)</f>
        <v>3886368</v>
      </c>
      <c r="F60" s="57"/>
      <c r="G60" s="58">
        <v>399224</v>
      </c>
      <c r="H60" s="58">
        <v>3435840</v>
      </c>
      <c r="I60" s="57"/>
      <c r="J60" s="58">
        <f>+VLOOKUP(A60,[1]Feuil1!$H$5:$S$64,8,FALSE)</f>
        <v>403605</v>
      </c>
      <c r="K60" s="58">
        <v>3731577.81</v>
      </c>
      <c r="L60" s="59">
        <f t="shared" si="2"/>
        <v>9.760269824685211E-2</v>
      </c>
      <c r="M60" s="18"/>
      <c r="N60" s="18"/>
      <c r="O60" s="58">
        <v>477368</v>
      </c>
      <c r="P60" s="58">
        <v>3731577</v>
      </c>
      <c r="Q60" s="57"/>
      <c r="R60" s="58">
        <v>483787.49</v>
      </c>
      <c r="S60" s="58">
        <v>4081842</v>
      </c>
      <c r="T60" s="59">
        <f t="shared" si="11"/>
        <v>0.10596293261633019</v>
      </c>
      <c r="U60" s="60">
        <v>483787</v>
      </c>
      <c r="V60" s="18"/>
      <c r="W60" s="57"/>
      <c r="X60" s="57">
        <f t="shared" si="4"/>
        <v>84563</v>
      </c>
      <c r="Y60" s="57">
        <f t="shared" si="5"/>
        <v>80182</v>
      </c>
      <c r="Z60" s="57">
        <f t="shared" si="6"/>
        <v>6419</v>
      </c>
      <c r="AA60" s="57">
        <f t="shared" si="7"/>
        <v>-0.48999999999068677</v>
      </c>
      <c r="AB60" s="18"/>
      <c r="AC60" s="61">
        <f t="shared" si="8"/>
        <v>6419</v>
      </c>
      <c r="AD60" s="63">
        <f t="shared" si="9"/>
        <v>1.3446649126041125E-2</v>
      </c>
      <c r="AE60" s="62">
        <f t="shared" si="10"/>
        <v>0.19866453587046742</v>
      </c>
      <c r="AF60" s="18"/>
      <c r="AG60" s="57"/>
      <c r="AH60" s="18"/>
      <c r="AI60" s="18"/>
    </row>
    <row r="61" spans="1:35" ht="25.5" x14ac:dyDescent="0.25">
      <c r="A61" s="64">
        <v>660780248</v>
      </c>
      <c r="B61" s="65">
        <v>660780248</v>
      </c>
      <c r="C61" s="55" t="s">
        <v>299</v>
      </c>
      <c r="D61" s="56" t="s">
        <v>344</v>
      </c>
      <c r="E61" s="57">
        <f>+VLOOKUP(A61,[1]Feuil1!$H$5:$O$64,6,FALSE)</f>
        <v>5530486</v>
      </c>
      <c r="F61" s="57"/>
      <c r="G61" s="58">
        <v>862547</v>
      </c>
      <c r="H61" s="58">
        <v>5204042</v>
      </c>
      <c r="I61" s="57"/>
      <c r="J61" s="58">
        <f>+VLOOKUP(A61,[1]Feuil1!$H$5:$S$64,8,FALSE)</f>
        <v>872337</v>
      </c>
      <c r="K61" s="58">
        <v>5236299.37</v>
      </c>
      <c r="L61" s="59">
        <f t="shared" si="2"/>
        <v>0.14280388406881059</v>
      </c>
      <c r="M61" s="18"/>
      <c r="N61" s="18"/>
      <c r="O61" s="58">
        <v>890564</v>
      </c>
      <c r="P61" s="58">
        <v>5236299</v>
      </c>
      <c r="Q61" s="57"/>
      <c r="R61" s="58">
        <v>902515.08</v>
      </c>
      <c r="S61" s="58">
        <v>5239533</v>
      </c>
      <c r="T61" s="59">
        <f t="shared" si="11"/>
        <v>0.14694041274909719</v>
      </c>
      <c r="U61" s="60">
        <v>902515</v>
      </c>
      <c r="V61" s="18"/>
      <c r="W61" s="57"/>
      <c r="X61" s="57">
        <f t="shared" si="4"/>
        <v>39968</v>
      </c>
      <c r="Y61" s="57">
        <f t="shared" si="5"/>
        <v>30178</v>
      </c>
      <c r="Z61" s="57">
        <f t="shared" si="6"/>
        <v>11951</v>
      </c>
      <c r="AA61" s="57">
        <f t="shared" si="7"/>
        <v>-7.9999999958090484E-2</v>
      </c>
      <c r="AB61" s="18"/>
      <c r="AC61" s="61">
        <f t="shared" si="8"/>
        <v>11951</v>
      </c>
      <c r="AD61" s="63">
        <f t="shared" si="9"/>
        <v>1.3419585790577657E-2</v>
      </c>
      <c r="AE61" s="63">
        <f t="shared" si="10"/>
        <v>3.4594428529341296E-2</v>
      </c>
      <c r="AF61" s="18"/>
      <c r="AG61" s="57"/>
      <c r="AH61" s="18"/>
      <c r="AI61" s="18"/>
    </row>
    <row r="62" spans="1:35" ht="25.5" x14ac:dyDescent="0.25">
      <c r="A62" s="64">
        <v>660780735</v>
      </c>
      <c r="B62" s="65">
        <v>660780735</v>
      </c>
      <c r="C62" s="55" t="s">
        <v>300</v>
      </c>
      <c r="D62" s="56" t="s">
        <v>344</v>
      </c>
      <c r="E62" s="57">
        <f>+VLOOKUP(A62,[1]Feuil1!$H$5:$O$64,6,FALSE)</f>
        <v>5974116</v>
      </c>
      <c r="F62" s="57"/>
      <c r="G62" s="58">
        <v>656588</v>
      </c>
      <c r="H62" s="58">
        <v>5292291</v>
      </c>
      <c r="I62" s="57"/>
      <c r="J62" s="58">
        <f>+VLOOKUP(A62,[1]Feuil1!$H$5:$S$64,8,FALSE)</f>
        <v>663913</v>
      </c>
      <c r="K62" s="58">
        <v>5292291</v>
      </c>
      <c r="L62" s="59">
        <f t="shared" si="2"/>
        <v>0.11146579264242797</v>
      </c>
      <c r="M62" s="18"/>
      <c r="N62" s="18"/>
      <c r="O62" s="58">
        <v>763011</v>
      </c>
      <c r="P62" s="58">
        <v>5292291</v>
      </c>
      <c r="Q62" s="57"/>
      <c r="R62" s="58">
        <v>773092.17</v>
      </c>
      <c r="S62" s="58">
        <v>5292291</v>
      </c>
      <c r="T62" s="59">
        <f t="shared" si="11"/>
        <v>0.12745974134392568</v>
      </c>
      <c r="U62" s="60">
        <v>773092</v>
      </c>
      <c r="V62" s="18"/>
      <c r="W62" s="57"/>
      <c r="X62" s="57">
        <f t="shared" si="4"/>
        <v>116504</v>
      </c>
      <c r="Y62" s="57">
        <f t="shared" si="5"/>
        <v>109179</v>
      </c>
      <c r="Z62" s="57">
        <f t="shared" si="6"/>
        <v>10081</v>
      </c>
      <c r="AA62" s="57">
        <f t="shared" si="7"/>
        <v>-0.17000000004190952</v>
      </c>
      <c r="AB62" s="18"/>
      <c r="AC62" s="61">
        <f t="shared" si="8"/>
        <v>10081</v>
      </c>
      <c r="AD62" s="63">
        <f t="shared" si="9"/>
        <v>1.3212129313994162E-2</v>
      </c>
      <c r="AE62" s="62">
        <f t="shared" si="10"/>
        <v>0.16444775143731183</v>
      </c>
      <c r="AF62" s="18"/>
      <c r="AG62" s="57"/>
      <c r="AH62" s="18"/>
      <c r="AI62" s="18"/>
    </row>
    <row r="63" spans="1:35" ht="38.25" x14ac:dyDescent="0.25">
      <c r="A63" s="64">
        <v>810000562</v>
      </c>
      <c r="B63" s="65">
        <v>810000455</v>
      </c>
      <c r="C63" s="55" t="s">
        <v>378</v>
      </c>
      <c r="D63" s="56" t="s">
        <v>342</v>
      </c>
      <c r="E63" s="57">
        <f>+VLOOKUP(A63,[1]Feuil1!$H$5:$O$64,6,FALSE)</f>
        <v>25592896</v>
      </c>
      <c r="F63" s="57"/>
      <c r="G63" s="58">
        <v>21117847</v>
      </c>
      <c r="H63" s="58">
        <v>3863089</v>
      </c>
      <c r="I63" s="57"/>
      <c r="J63" s="58">
        <f>+VLOOKUP(A63,[1]Feuil1!$H$5:$S$64,8,FALSE)</f>
        <v>21331942</v>
      </c>
      <c r="K63" s="58">
        <v>4154972.64</v>
      </c>
      <c r="L63" s="59">
        <f t="shared" si="2"/>
        <v>0.83697624060469644</v>
      </c>
      <c r="M63" s="18"/>
      <c r="N63" s="18"/>
      <c r="O63" s="58">
        <v>21886183</v>
      </c>
      <c r="P63" s="58">
        <v>4154972</v>
      </c>
      <c r="Q63" s="57"/>
      <c r="R63" s="58">
        <v>22155694.359999999</v>
      </c>
      <c r="S63" s="58">
        <v>4344705</v>
      </c>
      <c r="T63" s="59">
        <f t="shared" si="11"/>
        <v>0.83605133866178838</v>
      </c>
      <c r="U63" s="60">
        <v>22155694</v>
      </c>
      <c r="V63" s="18"/>
      <c r="W63" s="57"/>
      <c r="X63" s="57">
        <f t="shared" si="4"/>
        <v>1037847</v>
      </c>
      <c r="Y63" s="57">
        <f t="shared" si="5"/>
        <v>823752</v>
      </c>
      <c r="Z63" s="57">
        <f t="shared" si="6"/>
        <v>269511</v>
      </c>
      <c r="AA63" s="57">
        <f t="shared" si="7"/>
        <v>-0.35999999940395355</v>
      </c>
      <c r="AB63" s="18"/>
      <c r="AC63" s="61">
        <f t="shared" si="8"/>
        <v>269511</v>
      </c>
      <c r="AD63" s="63">
        <f t="shared" si="9"/>
        <v>1.2314207552774278E-2</v>
      </c>
      <c r="AE63" s="63">
        <f t="shared" si="10"/>
        <v>3.8615893480302921E-2</v>
      </c>
      <c r="AF63" s="18"/>
      <c r="AG63" s="57"/>
      <c r="AH63" s="18"/>
      <c r="AI63" s="18"/>
    </row>
    <row r="64" spans="1:35" ht="25.5" x14ac:dyDescent="0.25">
      <c r="A64" s="64">
        <v>810002022</v>
      </c>
      <c r="B64" s="76">
        <v>810100008</v>
      </c>
      <c r="C64" s="55" t="s">
        <v>379</v>
      </c>
      <c r="D64" s="56" t="s">
        <v>346</v>
      </c>
      <c r="E64" s="57">
        <f>+VLOOKUP(A64,[1]Feuil1!$H$5:$O$64,6,FALSE)</f>
        <v>62289314</v>
      </c>
      <c r="F64" s="57"/>
      <c r="G64" s="58">
        <v>46290471</v>
      </c>
      <c r="H64" s="58">
        <v>7072262</v>
      </c>
      <c r="I64" s="57"/>
      <c r="J64" s="58">
        <f>+VLOOKUP(A64,[1]Feuil1!$H$5:$S$64,8,FALSE)</f>
        <v>47216766</v>
      </c>
      <c r="K64" s="58">
        <v>7383978.4100000001</v>
      </c>
      <c r="L64" s="59">
        <f t="shared" si="2"/>
        <v>0.86476414397295953</v>
      </c>
      <c r="M64" s="18"/>
      <c r="N64" s="18"/>
      <c r="O64" s="58">
        <v>48281762</v>
      </c>
      <c r="P64" s="58">
        <v>7383978</v>
      </c>
      <c r="Q64" s="57"/>
      <c r="R64" s="58">
        <v>48915769.770000003</v>
      </c>
      <c r="S64" s="58">
        <v>7731118</v>
      </c>
      <c r="T64" s="59">
        <f t="shared" si="11"/>
        <v>0.8635208692948817</v>
      </c>
      <c r="U64" s="60">
        <v>48915769</v>
      </c>
      <c r="V64" s="18"/>
      <c r="W64" s="57"/>
      <c r="X64" s="57">
        <f t="shared" si="4"/>
        <v>2625298</v>
      </c>
      <c r="Y64" s="57">
        <f t="shared" si="5"/>
        <v>1699003</v>
      </c>
      <c r="Z64" s="57">
        <f t="shared" si="6"/>
        <v>634007</v>
      </c>
      <c r="AA64" s="57">
        <f t="shared" si="7"/>
        <v>-0.77000000327825546</v>
      </c>
      <c r="AB64" s="18"/>
      <c r="AC64" s="61">
        <f t="shared" si="8"/>
        <v>634007</v>
      </c>
      <c r="AD64" s="63">
        <f t="shared" si="9"/>
        <v>1.3131397317272721E-2</v>
      </c>
      <c r="AE64" s="63">
        <f t="shared" si="10"/>
        <v>3.5983044666803313E-2</v>
      </c>
      <c r="AF64" s="18"/>
      <c r="AG64" s="57"/>
      <c r="AH64" s="18"/>
      <c r="AI64" s="18"/>
    </row>
    <row r="65" spans="1:35" ht="51" x14ac:dyDescent="0.25">
      <c r="A65" s="64">
        <v>820000032</v>
      </c>
      <c r="B65" s="65">
        <v>820000016</v>
      </c>
      <c r="C65" s="55" t="s">
        <v>380</v>
      </c>
      <c r="D65" s="56" t="s">
        <v>342</v>
      </c>
      <c r="E65" s="57">
        <f>+VLOOKUP(A65,[1]Feuil1!$H$5:$O$64,6,FALSE)</f>
        <v>38312448</v>
      </c>
      <c r="F65" s="57"/>
      <c r="G65" s="58">
        <v>30414644</v>
      </c>
      <c r="H65" s="58">
        <v>6208287</v>
      </c>
      <c r="I65" s="57"/>
      <c r="J65" s="58">
        <f>+VLOOKUP(A65,[1]Feuil1!$H$5:$S$64,8,FALSE)</f>
        <v>30566271</v>
      </c>
      <c r="K65" s="58">
        <v>6208287</v>
      </c>
      <c r="L65" s="59">
        <f t="shared" si="2"/>
        <v>0.83117983362301728</v>
      </c>
      <c r="M65" s="18"/>
      <c r="N65" s="18"/>
      <c r="O65" s="58">
        <v>31159754</v>
      </c>
      <c r="P65" s="58">
        <v>6208287</v>
      </c>
      <c r="Q65" s="57"/>
      <c r="R65" s="58">
        <v>31767245.609999999</v>
      </c>
      <c r="S65" s="58">
        <v>6263542</v>
      </c>
      <c r="T65" s="59">
        <f t="shared" si="11"/>
        <v>0.83530338460955156</v>
      </c>
      <c r="U65" s="60">
        <v>31767245</v>
      </c>
      <c r="V65" s="18"/>
      <c r="W65" s="57"/>
      <c r="X65" s="57">
        <f t="shared" si="4"/>
        <v>1352601</v>
      </c>
      <c r="Y65" s="57">
        <f t="shared" si="5"/>
        <v>1200974</v>
      </c>
      <c r="Z65" s="57">
        <f t="shared" si="6"/>
        <v>607491</v>
      </c>
      <c r="AA65" s="57">
        <f t="shared" si="7"/>
        <v>-0.60999999940395355</v>
      </c>
      <c r="AB65" s="18"/>
      <c r="AC65" s="61">
        <f t="shared" si="8"/>
        <v>607491</v>
      </c>
      <c r="AD65" s="62">
        <f t="shared" si="9"/>
        <v>1.9496013992921769E-2</v>
      </c>
      <c r="AE65" s="63">
        <f t="shared" si="10"/>
        <v>3.9290824844155837E-2</v>
      </c>
      <c r="AF65" s="18"/>
      <c r="AG65" s="57">
        <v>31751153</v>
      </c>
      <c r="AH65" s="57">
        <f>+U65-AG65</f>
        <v>16092</v>
      </c>
      <c r="AI65" s="59">
        <f>+(AG65-O65)/O65</f>
        <v>1.8979578593592235E-2</v>
      </c>
    </row>
    <row r="66" spans="1:35" ht="25.5" x14ac:dyDescent="0.25">
      <c r="A66" s="64">
        <v>820003911</v>
      </c>
      <c r="B66" s="65">
        <v>820003911</v>
      </c>
      <c r="C66" s="55" t="s">
        <v>381</v>
      </c>
      <c r="D66" s="56" t="s">
        <v>346</v>
      </c>
      <c r="E66" s="57">
        <f>+VLOOKUP(A66,[1]Feuil1!$H$5:$O$64,6,FALSE)</f>
        <v>3241173</v>
      </c>
      <c r="F66" s="57"/>
      <c r="G66" s="58">
        <v>2365702</v>
      </c>
      <c r="H66" s="58">
        <v>473749</v>
      </c>
      <c r="I66" s="57"/>
      <c r="J66" s="58">
        <f>+VLOOKUP(A66,[1]Feuil1!$H$5:$S$64,8,FALSE)</f>
        <v>2389939</v>
      </c>
      <c r="K66" s="58">
        <v>546363.41</v>
      </c>
      <c r="L66" s="59">
        <f t="shared" si="2"/>
        <v>0.81392808583363863</v>
      </c>
      <c r="M66" s="18"/>
      <c r="N66" s="18"/>
      <c r="O66" s="58">
        <v>2446232</v>
      </c>
      <c r="P66" s="58">
        <v>546363</v>
      </c>
      <c r="Q66" s="57"/>
      <c r="R66" s="58">
        <v>2478974.69</v>
      </c>
      <c r="S66" s="58">
        <v>571717</v>
      </c>
      <c r="T66" s="59">
        <f t="shared" si="11"/>
        <v>0.81259430381835795</v>
      </c>
      <c r="U66" s="60">
        <v>2478974</v>
      </c>
      <c r="V66" s="18"/>
      <c r="W66" s="57"/>
      <c r="X66" s="57">
        <f t="shared" si="4"/>
        <v>113272</v>
      </c>
      <c r="Y66" s="57">
        <f t="shared" si="5"/>
        <v>89035</v>
      </c>
      <c r="Z66" s="57">
        <f t="shared" si="6"/>
        <v>32742</v>
      </c>
      <c r="AA66" s="57">
        <f t="shared" si="7"/>
        <v>-0.68999999994412065</v>
      </c>
      <c r="AB66" s="18"/>
      <c r="AC66" s="61">
        <f t="shared" si="8"/>
        <v>32742</v>
      </c>
      <c r="AD66" s="63">
        <f t="shared" si="9"/>
        <v>1.3384666703730471E-2</v>
      </c>
      <c r="AE66" s="63">
        <f t="shared" si="10"/>
        <v>3.7254088911892733E-2</v>
      </c>
      <c r="AF66" s="18"/>
      <c r="AG66" s="18"/>
      <c r="AH66" s="18"/>
      <c r="AI66" s="18"/>
    </row>
    <row r="67" spans="1:35" ht="51" x14ac:dyDescent="0.25">
      <c r="A67" s="68">
        <v>820005908</v>
      </c>
      <c r="B67" s="65">
        <v>820005908</v>
      </c>
      <c r="C67" s="55" t="s">
        <v>382</v>
      </c>
      <c r="D67" s="56" t="s">
        <v>346</v>
      </c>
      <c r="E67" s="57" t="str">
        <f>+VLOOKUP(A67,[1]Feuil1!$H$5:$O$64,6,FALSE)</f>
        <v>na</v>
      </c>
      <c r="F67" s="57"/>
      <c r="G67" s="58">
        <v>298496</v>
      </c>
      <c r="H67" s="58">
        <v>0</v>
      </c>
      <c r="I67" s="57"/>
      <c r="J67" s="58">
        <f>+VLOOKUP(A67,[1]Feuil1!$H$5:$S$64,8,FALSE)</f>
        <v>301520</v>
      </c>
      <c r="K67" s="58">
        <v>0</v>
      </c>
      <c r="L67" s="59">
        <f t="shared" si="2"/>
        <v>1</v>
      </c>
      <c r="M67" s="18"/>
      <c r="N67" s="18"/>
      <c r="O67" s="58">
        <v>306875</v>
      </c>
      <c r="P67" s="58">
        <v>0</v>
      </c>
      <c r="Q67" s="57"/>
      <c r="R67" s="58">
        <v>311006.37</v>
      </c>
      <c r="S67" s="58">
        <v>0</v>
      </c>
      <c r="T67" s="59">
        <f t="shared" si="11"/>
        <v>1</v>
      </c>
      <c r="U67" s="60">
        <v>311006</v>
      </c>
      <c r="V67" s="18"/>
      <c r="W67" s="57"/>
      <c r="X67" s="57">
        <f t="shared" si="4"/>
        <v>12510</v>
      </c>
      <c r="Y67" s="57">
        <f t="shared" si="5"/>
        <v>9486</v>
      </c>
      <c r="Z67" s="57">
        <f t="shared" si="6"/>
        <v>4131</v>
      </c>
      <c r="AA67" s="57">
        <f t="shared" si="7"/>
        <v>-0.36999999999534339</v>
      </c>
      <c r="AB67" s="18"/>
      <c r="AC67" s="61">
        <f t="shared" si="8"/>
        <v>4131</v>
      </c>
      <c r="AD67" s="63">
        <f t="shared" si="9"/>
        <v>1.3461507128309572E-2</v>
      </c>
      <c r="AE67" s="63">
        <f t="shared" si="10"/>
        <v>3.1460599628548684E-2</v>
      </c>
      <c r="AF67" s="18"/>
      <c r="AG67" s="18"/>
      <c r="AH67" s="18"/>
      <c r="AI67" s="18"/>
    </row>
    <row r="68" spans="1:35" x14ac:dyDescent="0.25">
      <c r="A68" s="18"/>
      <c r="B68" s="69"/>
      <c r="C68" s="50"/>
      <c r="D68" s="69"/>
      <c r="E68" s="18"/>
      <c r="F68" s="18"/>
      <c r="G68" s="18"/>
      <c r="H68" s="18"/>
      <c r="I68" s="18"/>
      <c r="J68" s="18"/>
      <c r="K68" s="18"/>
      <c r="L68" s="18"/>
      <c r="M68" s="18"/>
      <c r="N68" s="18"/>
      <c r="O68" s="18"/>
      <c r="P68" s="18"/>
      <c r="Q68" s="18"/>
      <c r="R68" s="18"/>
      <c r="S68" s="18"/>
      <c r="T68" s="18"/>
      <c r="U68" s="70"/>
      <c r="V68" s="18"/>
      <c r="W68" s="18"/>
      <c r="X68" s="18"/>
      <c r="Y68" s="18"/>
      <c r="Z68" s="18"/>
      <c r="AA68" s="18"/>
      <c r="AB68" s="18"/>
      <c r="AC68" s="18"/>
      <c r="AD68" s="18"/>
      <c r="AE68" s="18"/>
      <c r="AF68" s="18"/>
      <c r="AG68" s="18"/>
      <c r="AH68" s="18"/>
      <c r="AI68" s="71"/>
    </row>
    <row r="69" spans="1:35"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t="s">
        <v>383</v>
      </c>
      <c r="AD69" s="72">
        <f>+AVERAGE(AD8:AD67)</f>
        <v>3.0141282243221552E-2</v>
      </c>
      <c r="AE69" s="72">
        <f>+AVERAGE(AE8:AE67)</f>
        <v>8.0002386789395752E-2</v>
      </c>
      <c r="AF69" s="18"/>
      <c r="AG69" s="18"/>
      <c r="AH69" s="57">
        <f>+SUM(AH8:AH65)</f>
        <v>902116.98000000534</v>
      </c>
      <c r="AI69" s="71">
        <f>+AH69/S2</f>
        <v>1.2368895466496504E-3</v>
      </c>
    </row>
    <row r="70" spans="1:35" x14ac:dyDescent="0.25">
      <c r="A70" s="18"/>
      <c r="B70" s="18"/>
      <c r="C70" s="18"/>
      <c r="D70" s="18"/>
      <c r="E70" s="18"/>
      <c r="F70" s="18"/>
      <c r="G70" s="18"/>
      <c r="H70" s="18"/>
      <c r="I70" s="18"/>
      <c r="J70" s="18"/>
      <c r="K70" s="18" t="s">
        <v>384</v>
      </c>
      <c r="L70" s="18"/>
      <c r="M70" s="18"/>
      <c r="N70" s="18"/>
      <c r="O70" s="18"/>
      <c r="P70" s="18"/>
      <c r="Q70" s="18"/>
      <c r="R70" s="18"/>
      <c r="S70" s="18"/>
      <c r="T70" s="18"/>
      <c r="U70" s="18"/>
      <c r="V70" s="18"/>
      <c r="W70" s="18"/>
      <c r="X70" s="18"/>
      <c r="Y70" s="18"/>
      <c r="Z70" s="18"/>
      <c r="AA70" s="18"/>
      <c r="AB70" s="18"/>
      <c r="AC70" s="18" t="s">
        <v>385</v>
      </c>
      <c r="AD70" s="72">
        <f>+MEDIAN(AD8:AD67)</f>
        <v>1.3410637410317495E-2</v>
      </c>
      <c r="AE70" s="72">
        <f>+MEDIAN(AE8:AE67)</f>
        <v>3.8812043612740058E-2</v>
      </c>
      <c r="AF70" s="18"/>
      <c r="AG70" s="18"/>
      <c r="AH70" s="18"/>
      <c r="AI70" s="18"/>
    </row>
    <row r="71" spans="1:35"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57">
        <f>+U6*2%</f>
        <v>14586863.52</v>
      </c>
      <c r="AI71" s="73">
        <f>+AH69/AH71</f>
        <v>6.1844479367556694E-2</v>
      </c>
    </row>
  </sheetData>
  <mergeCells count="5">
    <mergeCell ref="M3:M5"/>
    <mergeCell ref="U3:U5"/>
    <mergeCell ref="W5:AA5"/>
    <mergeCell ref="AC5:AD5"/>
    <mergeCell ref="AH6:AI6"/>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D47D0-01E0-4332-B3A3-8D4D11CDB5D3}">
  <sheetPr codeName="Feuil4"/>
  <dimension ref="A1:BD62"/>
  <sheetViews>
    <sheetView topLeftCell="A11" zoomScaleNormal="100" workbookViewId="0">
      <selection activeCell="AP31" sqref="AP31"/>
    </sheetView>
  </sheetViews>
  <sheetFormatPr baseColWidth="10" defaultRowHeight="15" x14ac:dyDescent="0.25"/>
  <cols>
    <col min="4" max="4" width="27.7109375" style="79" customWidth="1"/>
  </cols>
  <sheetData>
    <row r="1" spans="1:56" x14ac:dyDescent="0.25">
      <c r="A1" t="s">
        <v>0</v>
      </c>
      <c r="B1" t="s">
        <v>1</v>
      </c>
      <c r="C1" t="s">
        <v>2</v>
      </c>
      <c r="D1" s="79" t="s">
        <v>3</v>
      </c>
      <c r="E1" t="s">
        <v>4</v>
      </c>
      <c r="F1" s="74" t="s">
        <v>387</v>
      </c>
      <c r="G1" t="s">
        <v>5</v>
      </c>
      <c r="H1" s="74"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row>
    <row r="2" spans="1:56" ht="30" x14ac:dyDescent="0.25">
      <c r="A2" t="s">
        <v>55</v>
      </c>
      <c r="B2" t="s">
        <v>56</v>
      </c>
      <c r="C2" t="s">
        <v>64</v>
      </c>
      <c r="D2" s="79" t="s">
        <v>65</v>
      </c>
      <c r="E2" t="s">
        <v>66</v>
      </c>
      <c r="F2" s="76">
        <v>90781816</v>
      </c>
      <c r="G2" t="s">
        <v>61</v>
      </c>
      <c r="H2">
        <v>1</v>
      </c>
      <c r="I2" t="s">
        <v>58</v>
      </c>
      <c r="J2">
        <v>1</v>
      </c>
      <c r="K2">
        <v>1</v>
      </c>
      <c r="L2">
        <v>82</v>
      </c>
      <c r="M2">
        <v>19</v>
      </c>
      <c r="N2" t="s">
        <v>58</v>
      </c>
      <c r="O2" t="s">
        <v>58</v>
      </c>
      <c r="P2" t="s">
        <v>58</v>
      </c>
      <c r="Q2" t="s">
        <v>58</v>
      </c>
      <c r="R2">
        <v>29930</v>
      </c>
      <c r="S2">
        <v>50</v>
      </c>
      <c r="T2">
        <v>5</v>
      </c>
      <c r="U2" t="s">
        <v>58</v>
      </c>
      <c r="V2">
        <v>1075</v>
      </c>
      <c r="W2">
        <v>26731</v>
      </c>
      <c r="X2">
        <v>2471</v>
      </c>
      <c r="Y2" t="s">
        <v>58</v>
      </c>
      <c r="Z2" t="s">
        <v>58</v>
      </c>
      <c r="AA2" t="s">
        <v>58</v>
      </c>
      <c r="AB2" t="s">
        <v>58</v>
      </c>
      <c r="AC2">
        <v>5673</v>
      </c>
      <c r="AD2">
        <v>0</v>
      </c>
      <c r="AE2" t="s">
        <v>58</v>
      </c>
      <c r="AF2">
        <v>7</v>
      </c>
      <c r="AG2">
        <v>2</v>
      </c>
      <c r="AH2">
        <v>3</v>
      </c>
      <c r="AI2">
        <v>45809</v>
      </c>
      <c r="AJ2">
        <v>1012</v>
      </c>
      <c r="AK2">
        <v>2803</v>
      </c>
      <c r="AL2">
        <v>3829</v>
      </c>
      <c r="AM2">
        <v>41</v>
      </c>
      <c r="AN2">
        <v>5327</v>
      </c>
      <c r="AO2">
        <v>11</v>
      </c>
      <c r="AP2">
        <v>6216</v>
      </c>
      <c r="AQ2">
        <v>5512</v>
      </c>
      <c r="AR2" t="s">
        <v>58</v>
      </c>
      <c r="AS2">
        <v>11.44</v>
      </c>
      <c r="AT2" t="s">
        <v>58</v>
      </c>
      <c r="AU2">
        <v>1.5</v>
      </c>
      <c r="AV2" t="s">
        <v>58</v>
      </c>
      <c r="AW2" t="s">
        <v>58</v>
      </c>
      <c r="AX2" t="s">
        <v>58</v>
      </c>
      <c r="AY2">
        <v>230.97</v>
      </c>
      <c r="AZ2">
        <v>135.99</v>
      </c>
      <c r="BA2">
        <v>27.96</v>
      </c>
      <c r="BB2">
        <v>19.52</v>
      </c>
      <c r="BC2">
        <v>9.42</v>
      </c>
      <c r="BD2">
        <v>9.9499999999999993</v>
      </c>
    </row>
    <row r="3" spans="1:56" ht="30" x14ac:dyDescent="0.25">
      <c r="A3" t="s">
        <v>55</v>
      </c>
      <c r="B3" t="s">
        <v>56</v>
      </c>
      <c r="C3" t="s">
        <v>67</v>
      </c>
      <c r="D3" s="79" t="s">
        <v>68</v>
      </c>
      <c r="E3" t="s">
        <v>69</v>
      </c>
      <c r="F3" s="76">
        <v>110780137</v>
      </c>
      <c r="G3" t="s">
        <v>61</v>
      </c>
      <c r="H3">
        <v>1</v>
      </c>
      <c r="I3" t="s">
        <v>58</v>
      </c>
      <c r="J3">
        <v>2</v>
      </c>
      <c r="K3">
        <v>0</v>
      </c>
      <c r="L3">
        <v>49</v>
      </c>
      <c r="M3">
        <v>1</v>
      </c>
      <c r="N3">
        <v>5</v>
      </c>
      <c r="O3">
        <v>0</v>
      </c>
      <c r="P3">
        <v>0</v>
      </c>
      <c r="Q3">
        <v>0</v>
      </c>
      <c r="R3">
        <v>20075</v>
      </c>
      <c r="S3">
        <v>38</v>
      </c>
      <c r="T3">
        <v>0</v>
      </c>
      <c r="U3">
        <v>0</v>
      </c>
      <c r="V3">
        <v>381</v>
      </c>
      <c r="W3">
        <v>10632</v>
      </c>
      <c r="X3">
        <v>333</v>
      </c>
      <c r="Y3">
        <v>1221</v>
      </c>
      <c r="Z3">
        <v>0</v>
      </c>
      <c r="AA3">
        <v>0</v>
      </c>
      <c r="AB3">
        <v>0</v>
      </c>
      <c r="AC3">
        <v>6417</v>
      </c>
      <c r="AD3">
        <v>0</v>
      </c>
      <c r="AE3">
        <v>0</v>
      </c>
      <c r="AF3">
        <v>4</v>
      </c>
      <c r="AG3" t="s">
        <v>58</v>
      </c>
      <c r="AH3" t="s">
        <v>58</v>
      </c>
      <c r="AI3">
        <v>23597</v>
      </c>
      <c r="AJ3" t="s">
        <v>58</v>
      </c>
      <c r="AK3" t="s">
        <v>58</v>
      </c>
      <c r="AL3">
        <v>625</v>
      </c>
      <c r="AM3">
        <v>44</v>
      </c>
      <c r="AN3">
        <v>8871</v>
      </c>
      <c r="AO3">
        <v>57</v>
      </c>
      <c r="AP3">
        <v>3439</v>
      </c>
      <c r="AQ3">
        <v>3013</v>
      </c>
      <c r="AR3" t="s">
        <v>58</v>
      </c>
      <c r="AS3">
        <v>9.9600000000000009</v>
      </c>
      <c r="AT3" t="s">
        <v>58</v>
      </c>
      <c r="AU3">
        <v>0.19</v>
      </c>
      <c r="AV3" t="s">
        <v>58</v>
      </c>
      <c r="AW3" t="s">
        <v>58</v>
      </c>
      <c r="AX3" t="s">
        <v>58</v>
      </c>
      <c r="AY3">
        <v>89.77</v>
      </c>
      <c r="AZ3">
        <v>57.02</v>
      </c>
      <c r="BA3">
        <v>5.86</v>
      </c>
      <c r="BB3">
        <v>13.05</v>
      </c>
      <c r="BC3">
        <v>7.66</v>
      </c>
      <c r="BD3">
        <v>6.18</v>
      </c>
    </row>
    <row r="4" spans="1:56" ht="30" x14ac:dyDescent="0.25">
      <c r="A4" t="s">
        <v>55</v>
      </c>
      <c r="B4" t="s">
        <v>56</v>
      </c>
      <c r="C4" t="s">
        <v>70</v>
      </c>
      <c r="D4" s="79" t="s">
        <v>71</v>
      </c>
      <c r="E4" t="s">
        <v>72</v>
      </c>
      <c r="F4" s="76">
        <v>110780152</v>
      </c>
      <c r="G4" t="s">
        <v>61</v>
      </c>
      <c r="H4">
        <v>0</v>
      </c>
      <c r="I4" t="s">
        <v>58</v>
      </c>
      <c r="J4" t="s">
        <v>58</v>
      </c>
      <c r="K4">
        <v>0</v>
      </c>
      <c r="L4">
        <v>74</v>
      </c>
      <c r="M4" t="s">
        <v>58</v>
      </c>
      <c r="N4" t="s">
        <v>58</v>
      </c>
      <c r="O4" t="s">
        <v>58</v>
      </c>
      <c r="P4" t="s">
        <v>58</v>
      </c>
      <c r="Q4" t="s">
        <v>58</v>
      </c>
      <c r="R4">
        <v>27010</v>
      </c>
      <c r="S4" t="s">
        <v>58</v>
      </c>
      <c r="T4" t="s">
        <v>58</v>
      </c>
      <c r="U4" t="s">
        <v>58</v>
      </c>
      <c r="V4">
        <v>452</v>
      </c>
      <c r="W4">
        <v>26510</v>
      </c>
      <c r="X4" t="s">
        <v>58</v>
      </c>
      <c r="Y4" t="s">
        <v>58</v>
      </c>
      <c r="Z4" t="s">
        <v>58</v>
      </c>
      <c r="AA4" t="s">
        <v>58</v>
      </c>
      <c r="AB4" t="s">
        <v>58</v>
      </c>
      <c r="AC4" t="s">
        <v>58</v>
      </c>
      <c r="AD4" t="s">
        <v>58</v>
      </c>
      <c r="AE4" t="s">
        <v>58</v>
      </c>
      <c r="AF4" t="s">
        <v>58</v>
      </c>
      <c r="AG4" t="s">
        <v>58</v>
      </c>
      <c r="AH4" t="s">
        <v>58</v>
      </c>
      <c r="AI4" t="s">
        <v>58</v>
      </c>
      <c r="AJ4" t="s">
        <v>58</v>
      </c>
      <c r="AK4" t="s">
        <v>58</v>
      </c>
      <c r="AL4" t="s">
        <v>58</v>
      </c>
      <c r="AM4" t="s">
        <v>58</v>
      </c>
      <c r="AN4" t="s">
        <v>58</v>
      </c>
      <c r="AO4" t="s">
        <v>58</v>
      </c>
      <c r="AP4">
        <v>379</v>
      </c>
      <c r="AQ4" t="s">
        <v>58</v>
      </c>
      <c r="AR4">
        <v>3</v>
      </c>
      <c r="AS4" t="s">
        <v>58</v>
      </c>
      <c r="AT4">
        <v>1</v>
      </c>
      <c r="AU4" t="s">
        <v>58</v>
      </c>
      <c r="AV4" t="s">
        <v>58</v>
      </c>
      <c r="AW4" t="s">
        <v>58</v>
      </c>
      <c r="AX4">
        <v>1</v>
      </c>
      <c r="AY4">
        <v>39.92</v>
      </c>
      <c r="AZ4">
        <v>12.07</v>
      </c>
      <c r="BA4">
        <v>7.59</v>
      </c>
      <c r="BB4">
        <v>1.17</v>
      </c>
      <c r="BC4" t="s">
        <v>58</v>
      </c>
      <c r="BD4">
        <v>0.66</v>
      </c>
    </row>
    <row r="5" spans="1:56" x14ac:dyDescent="0.25">
      <c r="A5" t="s">
        <v>55</v>
      </c>
      <c r="B5" t="s">
        <v>56</v>
      </c>
      <c r="C5" t="s">
        <v>73</v>
      </c>
      <c r="D5" s="79" t="s">
        <v>74</v>
      </c>
      <c r="E5" t="s">
        <v>73</v>
      </c>
      <c r="F5" s="76">
        <v>110786324</v>
      </c>
      <c r="G5" t="s">
        <v>61</v>
      </c>
      <c r="H5">
        <v>1</v>
      </c>
      <c r="I5" t="s">
        <v>58</v>
      </c>
      <c r="J5">
        <v>1</v>
      </c>
      <c r="K5">
        <v>1</v>
      </c>
      <c r="L5">
        <v>210</v>
      </c>
      <c r="M5" t="s">
        <v>58</v>
      </c>
      <c r="N5" t="s">
        <v>58</v>
      </c>
      <c r="O5" t="s">
        <v>58</v>
      </c>
      <c r="P5" t="s">
        <v>58</v>
      </c>
      <c r="Q5" t="s">
        <v>58</v>
      </c>
      <c r="R5">
        <v>67525</v>
      </c>
      <c r="S5">
        <v>72</v>
      </c>
      <c r="T5" t="s">
        <v>58</v>
      </c>
      <c r="U5" t="s">
        <v>58</v>
      </c>
      <c r="V5">
        <v>1835</v>
      </c>
      <c r="W5">
        <v>52579</v>
      </c>
      <c r="X5" t="s">
        <v>58</v>
      </c>
      <c r="Y5" t="s">
        <v>58</v>
      </c>
      <c r="Z5" t="s">
        <v>58</v>
      </c>
      <c r="AA5" t="s">
        <v>58</v>
      </c>
      <c r="AB5" t="s">
        <v>58</v>
      </c>
      <c r="AC5">
        <v>13024</v>
      </c>
      <c r="AD5" t="s">
        <v>58</v>
      </c>
      <c r="AE5" t="s">
        <v>58</v>
      </c>
      <c r="AF5">
        <v>10</v>
      </c>
      <c r="AG5" t="s">
        <v>58</v>
      </c>
      <c r="AH5">
        <v>12</v>
      </c>
      <c r="AI5">
        <v>70316</v>
      </c>
      <c r="AJ5" t="s">
        <v>58</v>
      </c>
      <c r="AK5">
        <v>6864</v>
      </c>
      <c r="AL5">
        <v>10389</v>
      </c>
      <c r="AM5">
        <v>328</v>
      </c>
      <c r="AN5">
        <v>11402</v>
      </c>
      <c r="AO5">
        <v>196</v>
      </c>
      <c r="AP5">
        <v>8413</v>
      </c>
      <c r="AQ5">
        <v>6855</v>
      </c>
      <c r="AR5" t="s">
        <v>58</v>
      </c>
      <c r="AS5">
        <v>22.02</v>
      </c>
      <c r="AT5" t="s">
        <v>58</v>
      </c>
      <c r="AU5">
        <v>2.4700000000000002</v>
      </c>
      <c r="AV5" t="s">
        <v>58</v>
      </c>
      <c r="AW5" t="s">
        <v>58</v>
      </c>
      <c r="AX5" t="s">
        <v>58</v>
      </c>
      <c r="AY5">
        <v>378.72</v>
      </c>
      <c r="AZ5">
        <v>231.59</v>
      </c>
      <c r="BA5">
        <v>37.840000000000003</v>
      </c>
      <c r="BB5">
        <v>23.52</v>
      </c>
      <c r="BC5">
        <v>4.92</v>
      </c>
      <c r="BD5">
        <v>28.93</v>
      </c>
    </row>
    <row r="6" spans="1:56" x14ac:dyDescent="0.25">
      <c r="A6" t="s">
        <v>55</v>
      </c>
      <c r="B6" t="s">
        <v>56</v>
      </c>
      <c r="C6" t="s">
        <v>78</v>
      </c>
      <c r="D6" s="79" t="s">
        <v>79</v>
      </c>
      <c r="E6" t="s">
        <v>80</v>
      </c>
      <c r="F6" s="76">
        <v>120004528</v>
      </c>
      <c r="G6" t="s">
        <v>61</v>
      </c>
      <c r="H6">
        <v>1</v>
      </c>
      <c r="I6" t="s">
        <v>58</v>
      </c>
      <c r="J6">
        <v>0</v>
      </c>
      <c r="K6">
        <v>0</v>
      </c>
      <c r="L6">
        <v>22</v>
      </c>
      <c r="M6" t="s">
        <v>58</v>
      </c>
      <c r="N6" t="s">
        <v>58</v>
      </c>
      <c r="O6" t="s">
        <v>58</v>
      </c>
      <c r="P6" t="s">
        <v>58</v>
      </c>
      <c r="Q6" t="s">
        <v>58</v>
      </c>
      <c r="R6">
        <v>8030</v>
      </c>
      <c r="S6">
        <v>27</v>
      </c>
      <c r="T6">
        <v>2</v>
      </c>
      <c r="U6">
        <v>1</v>
      </c>
      <c r="V6">
        <v>485</v>
      </c>
      <c r="W6">
        <v>7316</v>
      </c>
      <c r="X6" t="s">
        <v>58</v>
      </c>
      <c r="Y6" t="s">
        <v>58</v>
      </c>
      <c r="Z6" t="s">
        <v>58</v>
      </c>
      <c r="AA6" t="s">
        <v>58</v>
      </c>
      <c r="AB6" t="s">
        <v>58</v>
      </c>
      <c r="AC6">
        <v>5363</v>
      </c>
      <c r="AD6">
        <v>0</v>
      </c>
      <c r="AE6">
        <v>301</v>
      </c>
      <c r="AF6">
        <v>3</v>
      </c>
      <c r="AG6">
        <v>5</v>
      </c>
      <c r="AH6">
        <v>2</v>
      </c>
      <c r="AI6">
        <v>15445</v>
      </c>
      <c r="AJ6">
        <v>3159</v>
      </c>
      <c r="AK6">
        <v>1310</v>
      </c>
      <c r="AL6">
        <v>3607</v>
      </c>
      <c r="AM6">
        <v>178</v>
      </c>
      <c r="AN6">
        <v>517</v>
      </c>
      <c r="AO6">
        <v>99</v>
      </c>
      <c r="AP6">
        <v>1929</v>
      </c>
      <c r="AQ6">
        <v>1526</v>
      </c>
      <c r="AR6" t="s">
        <v>58</v>
      </c>
      <c r="AS6">
        <v>2.77</v>
      </c>
      <c r="AT6" t="s">
        <v>58</v>
      </c>
      <c r="AU6" t="s">
        <v>58</v>
      </c>
      <c r="AV6" t="s">
        <v>58</v>
      </c>
      <c r="AW6" t="s">
        <v>58</v>
      </c>
      <c r="AX6" t="s">
        <v>58</v>
      </c>
      <c r="AY6">
        <v>98.01</v>
      </c>
      <c r="AZ6">
        <v>45.13</v>
      </c>
      <c r="BA6">
        <v>0</v>
      </c>
      <c r="BB6">
        <v>8.0500000000000007</v>
      </c>
      <c r="BC6">
        <v>4.7699999999999996</v>
      </c>
      <c r="BD6">
        <v>19.079999999999998</v>
      </c>
    </row>
    <row r="7" spans="1:56" ht="30" x14ac:dyDescent="0.25">
      <c r="A7" t="s">
        <v>55</v>
      </c>
      <c r="B7" t="s">
        <v>56</v>
      </c>
      <c r="C7" t="s">
        <v>75</v>
      </c>
      <c r="D7" s="98" t="s">
        <v>76</v>
      </c>
      <c r="E7" t="s">
        <v>77</v>
      </c>
      <c r="F7" s="76">
        <v>120780044</v>
      </c>
      <c r="G7" t="s">
        <v>61</v>
      </c>
      <c r="H7">
        <v>1</v>
      </c>
      <c r="I7" t="s">
        <v>58</v>
      </c>
      <c r="J7">
        <v>2</v>
      </c>
      <c r="K7">
        <v>0</v>
      </c>
      <c r="L7">
        <v>5</v>
      </c>
      <c r="M7" t="s">
        <v>58</v>
      </c>
      <c r="N7" t="s">
        <v>58</v>
      </c>
      <c r="O7" t="s">
        <v>58</v>
      </c>
      <c r="P7" t="s">
        <v>58</v>
      </c>
      <c r="Q7" t="s">
        <v>58</v>
      </c>
      <c r="R7">
        <v>1825</v>
      </c>
      <c r="S7">
        <v>28</v>
      </c>
      <c r="T7" t="s">
        <v>58</v>
      </c>
      <c r="U7" t="s">
        <v>58</v>
      </c>
      <c r="V7">
        <v>286</v>
      </c>
      <c r="W7">
        <v>1620</v>
      </c>
      <c r="X7" t="s">
        <v>58</v>
      </c>
      <c r="Y7" t="s">
        <v>58</v>
      </c>
      <c r="Z7" t="s">
        <v>58</v>
      </c>
      <c r="AA7" t="s">
        <v>58</v>
      </c>
      <c r="AB7" t="s">
        <v>58</v>
      </c>
      <c r="AC7">
        <v>3814</v>
      </c>
      <c r="AD7" t="s">
        <v>58</v>
      </c>
      <c r="AE7" t="s">
        <v>58</v>
      </c>
      <c r="AF7">
        <v>6</v>
      </c>
      <c r="AG7" t="s">
        <v>58</v>
      </c>
      <c r="AH7">
        <v>3</v>
      </c>
      <c r="AI7" t="s">
        <v>58</v>
      </c>
      <c r="AJ7" t="s">
        <v>58</v>
      </c>
      <c r="AK7" t="s">
        <v>58</v>
      </c>
      <c r="AL7" t="s">
        <v>58</v>
      </c>
      <c r="AM7" t="s">
        <v>58</v>
      </c>
      <c r="AN7" t="s">
        <v>58</v>
      </c>
      <c r="AO7" t="s">
        <v>58</v>
      </c>
      <c r="AP7" t="s">
        <v>58</v>
      </c>
      <c r="AQ7" t="s">
        <v>58</v>
      </c>
      <c r="AR7" t="s">
        <v>58</v>
      </c>
      <c r="AS7">
        <v>3.63</v>
      </c>
      <c r="AT7" t="s">
        <v>58</v>
      </c>
      <c r="AU7">
        <v>0.6</v>
      </c>
      <c r="AV7" t="s">
        <v>58</v>
      </c>
      <c r="AW7" t="s">
        <v>58</v>
      </c>
      <c r="AX7" t="s">
        <v>58</v>
      </c>
      <c r="AY7">
        <v>50.43</v>
      </c>
      <c r="AZ7">
        <v>14.16</v>
      </c>
      <c r="BA7">
        <v>7</v>
      </c>
      <c r="BB7">
        <v>3.63</v>
      </c>
      <c r="BC7">
        <v>3.35</v>
      </c>
      <c r="BD7">
        <v>18.489999999999998</v>
      </c>
    </row>
    <row r="8" spans="1:56" x14ac:dyDescent="0.25">
      <c r="A8" t="s">
        <v>55</v>
      </c>
      <c r="B8" t="s">
        <v>56</v>
      </c>
      <c r="C8" t="s">
        <v>81</v>
      </c>
      <c r="D8" s="79" t="s">
        <v>82</v>
      </c>
      <c r="E8" t="s">
        <v>63</v>
      </c>
      <c r="F8" s="76">
        <v>120780283</v>
      </c>
      <c r="G8" t="s">
        <v>61</v>
      </c>
      <c r="H8">
        <v>1</v>
      </c>
      <c r="I8" t="s">
        <v>58</v>
      </c>
      <c r="J8">
        <v>3</v>
      </c>
      <c r="K8">
        <v>1</v>
      </c>
      <c r="L8">
        <v>199</v>
      </c>
      <c r="M8">
        <v>40</v>
      </c>
      <c r="N8">
        <v>5</v>
      </c>
      <c r="O8" t="s">
        <v>58</v>
      </c>
      <c r="P8">
        <v>4</v>
      </c>
      <c r="Q8" t="s">
        <v>58</v>
      </c>
      <c r="R8">
        <v>72635</v>
      </c>
      <c r="S8">
        <v>115</v>
      </c>
      <c r="T8">
        <v>1</v>
      </c>
      <c r="U8" t="s">
        <v>58</v>
      </c>
      <c r="V8">
        <v>2414</v>
      </c>
      <c r="W8">
        <v>63133</v>
      </c>
      <c r="X8">
        <v>10650</v>
      </c>
      <c r="Y8">
        <v>889</v>
      </c>
      <c r="Z8" t="s">
        <v>58</v>
      </c>
      <c r="AA8">
        <v>1028</v>
      </c>
      <c r="AB8" t="s">
        <v>58</v>
      </c>
      <c r="AC8">
        <v>15056</v>
      </c>
      <c r="AD8">
        <v>0</v>
      </c>
      <c r="AE8" t="s">
        <v>58</v>
      </c>
      <c r="AF8">
        <v>8</v>
      </c>
      <c r="AG8">
        <v>8</v>
      </c>
      <c r="AH8">
        <v>9</v>
      </c>
      <c r="AI8">
        <v>45267</v>
      </c>
      <c r="AJ8">
        <v>3353</v>
      </c>
      <c r="AK8">
        <v>24504</v>
      </c>
      <c r="AL8">
        <v>15652</v>
      </c>
      <c r="AM8">
        <v>7337</v>
      </c>
      <c r="AN8">
        <v>684</v>
      </c>
      <c r="AO8">
        <v>26</v>
      </c>
      <c r="AP8">
        <v>9714</v>
      </c>
      <c r="AQ8">
        <v>7771</v>
      </c>
      <c r="AR8" t="s">
        <v>58</v>
      </c>
      <c r="AS8">
        <v>20.25</v>
      </c>
      <c r="AT8">
        <v>1</v>
      </c>
      <c r="AU8">
        <v>5.12</v>
      </c>
      <c r="AV8" t="s">
        <v>58</v>
      </c>
      <c r="AW8" t="s">
        <v>58</v>
      </c>
      <c r="AX8" t="s">
        <v>58</v>
      </c>
      <c r="AY8">
        <v>497.94</v>
      </c>
      <c r="AZ8">
        <v>284.97000000000003</v>
      </c>
      <c r="BA8">
        <v>86.57</v>
      </c>
      <c r="BB8">
        <v>15.41</v>
      </c>
      <c r="BC8">
        <v>6.36</v>
      </c>
      <c r="BD8">
        <v>14.04</v>
      </c>
    </row>
    <row r="9" spans="1:56" x14ac:dyDescent="0.25">
      <c r="A9" t="s">
        <v>55</v>
      </c>
      <c r="B9" t="s">
        <v>56</v>
      </c>
      <c r="C9" t="s">
        <v>90</v>
      </c>
      <c r="D9" s="79" t="s">
        <v>91</v>
      </c>
      <c r="E9" t="s">
        <v>90</v>
      </c>
      <c r="F9" s="77">
        <v>300002896</v>
      </c>
      <c r="G9" t="s">
        <v>61</v>
      </c>
      <c r="H9">
        <v>1</v>
      </c>
      <c r="I9" t="s">
        <v>58</v>
      </c>
      <c r="J9">
        <v>0</v>
      </c>
      <c r="K9">
        <v>0</v>
      </c>
      <c r="L9">
        <v>0</v>
      </c>
      <c r="M9">
        <v>0</v>
      </c>
      <c r="N9">
        <v>0</v>
      </c>
      <c r="O9">
        <v>0</v>
      </c>
      <c r="P9">
        <v>0</v>
      </c>
      <c r="Q9">
        <v>0</v>
      </c>
      <c r="R9">
        <v>0</v>
      </c>
      <c r="S9">
        <v>8</v>
      </c>
      <c r="T9">
        <v>0</v>
      </c>
      <c r="U9">
        <v>1</v>
      </c>
      <c r="V9">
        <v>0</v>
      </c>
      <c r="W9">
        <v>0</v>
      </c>
      <c r="X9">
        <v>0</v>
      </c>
      <c r="Y9">
        <v>0</v>
      </c>
      <c r="Z9">
        <v>0</v>
      </c>
      <c r="AA9">
        <v>0</v>
      </c>
      <c r="AB9">
        <v>0</v>
      </c>
      <c r="AC9">
        <v>684</v>
      </c>
      <c r="AD9">
        <v>0</v>
      </c>
      <c r="AE9">
        <v>0</v>
      </c>
      <c r="AF9">
        <v>1</v>
      </c>
      <c r="AG9">
        <v>0</v>
      </c>
      <c r="AH9">
        <v>0</v>
      </c>
      <c r="AI9">
        <v>5819</v>
      </c>
      <c r="AJ9">
        <v>0</v>
      </c>
      <c r="AK9">
        <v>0</v>
      </c>
      <c r="AL9">
        <v>0</v>
      </c>
      <c r="AM9">
        <v>0</v>
      </c>
      <c r="AN9">
        <v>0</v>
      </c>
      <c r="AO9">
        <v>0</v>
      </c>
      <c r="AP9">
        <v>197</v>
      </c>
      <c r="AQ9">
        <v>174</v>
      </c>
      <c r="AR9">
        <v>0</v>
      </c>
      <c r="AS9">
        <v>0.9</v>
      </c>
      <c r="AT9">
        <v>0</v>
      </c>
      <c r="AU9">
        <v>0</v>
      </c>
      <c r="AV9" t="s">
        <v>58</v>
      </c>
      <c r="AW9" t="s">
        <v>58</v>
      </c>
      <c r="AX9">
        <v>0</v>
      </c>
      <c r="AY9">
        <v>0</v>
      </c>
      <c r="AZ9">
        <v>2</v>
      </c>
      <c r="BA9">
        <v>0</v>
      </c>
      <c r="BB9">
        <v>2.5</v>
      </c>
      <c r="BC9">
        <v>2.33</v>
      </c>
      <c r="BD9">
        <v>6.05</v>
      </c>
    </row>
    <row r="10" spans="1:56" ht="30" x14ac:dyDescent="0.25">
      <c r="A10" t="s">
        <v>55</v>
      </c>
      <c r="B10" t="s">
        <v>56</v>
      </c>
      <c r="C10" t="s">
        <v>92</v>
      </c>
      <c r="D10" s="79" t="s">
        <v>93</v>
      </c>
      <c r="E10" t="s">
        <v>94</v>
      </c>
      <c r="F10" s="76">
        <v>300002128</v>
      </c>
      <c r="G10" t="s">
        <v>61</v>
      </c>
      <c r="H10">
        <v>0</v>
      </c>
      <c r="I10" t="s">
        <v>58</v>
      </c>
      <c r="J10" t="s">
        <v>58</v>
      </c>
      <c r="K10">
        <v>0</v>
      </c>
      <c r="L10" t="s">
        <v>58</v>
      </c>
      <c r="M10" t="s">
        <v>58</v>
      </c>
      <c r="N10" t="s">
        <v>58</v>
      </c>
      <c r="O10">
        <v>46</v>
      </c>
      <c r="P10" t="s">
        <v>58</v>
      </c>
      <c r="Q10" t="s">
        <v>58</v>
      </c>
      <c r="R10" t="s">
        <v>58</v>
      </c>
      <c r="S10" t="s">
        <v>58</v>
      </c>
      <c r="T10" t="s">
        <v>58</v>
      </c>
      <c r="U10" t="s">
        <v>58</v>
      </c>
      <c r="V10" t="s">
        <v>58</v>
      </c>
      <c r="W10" t="s">
        <v>58</v>
      </c>
      <c r="X10" t="s">
        <v>58</v>
      </c>
      <c r="Y10" t="s">
        <v>58</v>
      </c>
      <c r="Z10">
        <v>15122</v>
      </c>
      <c r="AA10" t="s">
        <v>58</v>
      </c>
      <c r="AB10" t="s">
        <v>58</v>
      </c>
      <c r="AC10" t="s">
        <v>58</v>
      </c>
      <c r="AD10" t="s">
        <v>58</v>
      </c>
      <c r="AE10" t="s">
        <v>58</v>
      </c>
      <c r="AF10" t="s">
        <v>58</v>
      </c>
      <c r="AG10" t="s">
        <v>58</v>
      </c>
      <c r="AH10" t="s">
        <v>58</v>
      </c>
      <c r="AI10" t="s">
        <v>58</v>
      </c>
      <c r="AJ10" t="s">
        <v>58</v>
      </c>
      <c r="AK10" t="s">
        <v>58</v>
      </c>
      <c r="AL10" t="s">
        <v>58</v>
      </c>
      <c r="AM10" t="s">
        <v>58</v>
      </c>
      <c r="AN10" t="s">
        <v>58</v>
      </c>
      <c r="AO10" t="s">
        <v>58</v>
      </c>
      <c r="AP10">
        <v>100</v>
      </c>
      <c r="AQ10" t="s">
        <v>58</v>
      </c>
      <c r="AR10" t="s">
        <v>58</v>
      </c>
      <c r="AS10">
        <v>1</v>
      </c>
      <c r="AT10" t="s">
        <v>58</v>
      </c>
      <c r="AU10">
        <v>0.25</v>
      </c>
      <c r="AV10" t="s">
        <v>58</v>
      </c>
      <c r="AW10" t="s">
        <v>58</v>
      </c>
      <c r="AX10" t="s">
        <v>58</v>
      </c>
      <c r="AY10">
        <v>22.58</v>
      </c>
      <c r="AZ10">
        <v>6.8</v>
      </c>
      <c r="BA10">
        <v>5.68</v>
      </c>
      <c r="BB10">
        <v>2.1</v>
      </c>
      <c r="BC10">
        <v>1</v>
      </c>
      <c r="BD10">
        <v>7</v>
      </c>
    </row>
    <row r="11" spans="1:56" x14ac:dyDescent="0.25">
      <c r="A11" t="s">
        <v>55</v>
      </c>
      <c r="B11" t="s">
        <v>56</v>
      </c>
      <c r="C11" t="s">
        <v>112</v>
      </c>
      <c r="D11" s="79" t="s">
        <v>113</v>
      </c>
      <c r="E11" t="s">
        <v>114</v>
      </c>
      <c r="F11" s="76">
        <v>300780038</v>
      </c>
      <c r="G11" t="s">
        <v>61</v>
      </c>
      <c r="H11">
        <v>1</v>
      </c>
      <c r="I11" t="s">
        <v>58</v>
      </c>
      <c r="J11">
        <v>1</v>
      </c>
      <c r="K11">
        <v>0</v>
      </c>
      <c r="L11">
        <v>80</v>
      </c>
      <c r="M11">
        <v>0</v>
      </c>
      <c r="N11" t="s">
        <v>58</v>
      </c>
      <c r="O11" t="s">
        <v>58</v>
      </c>
      <c r="P11" t="s">
        <v>58</v>
      </c>
      <c r="Q11" t="s">
        <v>58</v>
      </c>
      <c r="R11">
        <v>29200</v>
      </c>
      <c r="S11">
        <v>44</v>
      </c>
      <c r="T11" t="s">
        <v>58</v>
      </c>
      <c r="U11">
        <v>3</v>
      </c>
      <c r="V11">
        <v>1014</v>
      </c>
      <c r="W11">
        <v>16910</v>
      </c>
      <c r="X11" t="s">
        <v>58</v>
      </c>
      <c r="Y11" t="s">
        <v>58</v>
      </c>
      <c r="Z11" t="s">
        <v>58</v>
      </c>
      <c r="AA11" t="s">
        <v>58</v>
      </c>
      <c r="AB11" t="s">
        <v>58</v>
      </c>
      <c r="AC11">
        <v>3673</v>
      </c>
      <c r="AD11" t="s">
        <v>58</v>
      </c>
      <c r="AE11">
        <v>658</v>
      </c>
      <c r="AF11">
        <v>8</v>
      </c>
      <c r="AG11">
        <v>4</v>
      </c>
      <c r="AH11">
        <v>0</v>
      </c>
      <c r="AI11">
        <v>21495</v>
      </c>
      <c r="AJ11">
        <v>7856</v>
      </c>
      <c r="AK11">
        <v>68</v>
      </c>
      <c r="AL11">
        <v>782</v>
      </c>
      <c r="AM11">
        <v>1077</v>
      </c>
      <c r="AN11">
        <v>15</v>
      </c>
      <c r="AO11">
        <v>51</v>
      </c>
      <c r="AP11">
        <v>5974</v>
      </c>
      <c r="AQ11">
        <v>5436</v>
      </c>
      <c r="AR11" t="s">
        <v>58</v>
      </c>
      <c r="AS11">
        <v>20.100000000000001</v>
      </c>
      <c r="AT11" t="s">
        <v>58</v>
      </c>
      <c r="AU11">
        <v>4.8099999999999996</v>
      </c>
      <c r="AV11" t="s">
        <v>58</v>
      </c>
      <c r="AW11" t="s">
        <v>58</v>
      </c>
      <c r="AX11" t="s">
        <v>58</v>
      </c>
      <c r="AY11">
        <v>253.47</v>
      </c>
      <c r="AZ11">
        <v>108.73</v>
      </c>
      <c r="BA11">
        <v>66.17</v>
      </c>
      <c r="BB11">
        <v>20.92</v>
      </c>
      <c r="BC11">
        <v>7.45</v>
      </c>
      <c r="BD11">
        <v>14.99</v>
      </c>
    </row>
    <row r="12" spans="1:56" x14ac:dyDescent="0.25">
      <c r="A12" s="86" t="s">
        <v>55</v>
      </c>
      <c r="B12" s="87">
        <v>2023</v>
      </c>
      <c r="C12" s="95">
        <v>300780046</v>
      </c>
      <c r="D12" s="86" t="s">
        <v>259</v>
      </c>
      <c r="E12" s="95">
        <v>300780046</v>
      </c>
      <c r="F12" s="78">
        <v>300780046</v>
      </c>
      <c r="G12" s="74" t="s">
        <v>61</v>
      </c>
      <c r="L12">
        <v>66</v>
      </c>
      <c r="R12">
        <v>24090</v>
      </c>
      <c r="S12">
        <v>16</v>
      </c>
      <c r="T12">
        <v>3</v>
      </c>
      <c r="V12">
        <v>899</v>
      </c>
      <c r="W12">
        <v>20270</v>
      </c>
      <c r="AC12">
        <v>5974</v>
      </c>
      <c r="AD12">
        <v>168</v>
      </c>
      <c r="AF12">
        <v>8</v>
      </c>
      <c r="AG12">
        <v>1</v>
      </c>
      <c r="AH12">
        <v>1</v>
      </c>
      <c r="AI12">
        <v>23820</v>
      </c>
      <c r="AJ12">
        <v>513</v>
      </c>
      <c r="AK12">
        <v>2977</v>
      </c>
      <c r="AL12">
        <v>3220</v>
      </c>
      <c r="AM12">
        <v>295</v>
      </c>
      <c r="AN12">
        <v>4606</v>
      </c>
      <c r="AO12">
        <v>3</v>
      </c>
      <c r="AP12">
        <v>4761</v>
      </c>
      <c r="AQ12">
        <v>4132</v>
      </c>
    </row>
    <row r="13" spans="1:56" x14ac:dyDescent="0.25">
      <c r="A13" t="s">
        <v>55</v>
      </c>
      <c r="B13" t="s">
        <v>56</v>
      </c>
      <c r="C13" t="s">
        <v>85</v>
      </c>
      <c r="D13" s="79" t="s">
        <v>86</v>
      </c>
      <c r="E13" t="s">
        <v>87</v>
      </c>
      <c r="F13" s="76">
        <v>300780103</v>
      </c>
      <c r="G13" t="s">
        <v>61</v>
      </c>
      <c r="H13">
        <v>1</v>
      </c>
      <c r="I13" t="s">
        <v>58</v>
      </c>
      <c r="J13">
        <v>0</v>
      </c>
      <c r="K13">
        <v>1</v>
      </c>
      <c r="L13">
        <v>173</v>
      </c>
      <c r="M13">
        <v>21</v>
      </c>
      <c r="N13" t="s">
        <v>58</v>
      </c>
      <c r="O13" t="s">
        <v>58</v>
      </c>
      <c r="P13" t="s">
        <v>58</v>
      </c>
      <c r="Q13" t="s">
        <v>58</v>
      </c>
      <c r="R13">
        <v>59520</v>
      </c>
      <c r="S13">
        <v>122</v>
      </c>
      <c r="T13" t="s">
        <v>58</v>
      </c>
      <c r="U13" t="s">
        <v>58</v>
      </c>
      <c r="V13">
        <v>2205</v>
      </c>
      <c r="W13">
        <v>46350</v>
      </c>
      <c r="X13">
        <v>4301</v>
      </c>
      <c r="Y13" t="s">
        <v>58</v>
      </c>
      <c r="Z13" t="s">
        <v>58</v>
      </c>
      <c r="AA13" t="s">
        <v>58</v>
      </c>
      <c r="AB13" t="s">
        <v>58</v>
      </c>
      <c r="AC13">
        <v>12125</v>
      </c>
      <c r="AD13" t="s">
        <v>58</v>
      </c>
      <c r="AE13" t="s">
        <v>58</v>
      </c>
      <c r="AF13">
        <v>11</v>
      </c>
      <c r="AG13">
        <v>1</v>
      </c>
      <c r="AH13">
        <v>2</v>
      </c>
      <c r="AI13">
        <v>64954</v>
      </c>
      <c r="AJ13">
        <v>3146</v>
      </c>
      <c r="AK13">
        <v>14408</v>
      </c>
      <c r="AL13">
        <v>4130</v>
      </c>
      <c r="AM13">
        <v>1257</v>
      </c>
      <c r="AN13">
        <v>964</v>
      </c>
      <c r="AO13">
        <v>198</v>
      </c>
      <c r="AP13">
        <v>8696</v>
      </c>
      <c r="AQ13">
        <v>7056</v>
      </c>
      <c r="AR13" t="s">
        <v>58</v>
      </c>
      <c r="AS13">
        <v>27.82</v>
      </c>
      <c r="AT13" t="s">
        <v>58</v>
      </c>
      <c r="AU13">
        <v>2.2000000000000002</v>
      </c>
      <c r="AV13" t="s">
        <v>58</v>
      </c>
      <c r="AW13" t="s">
        <v>58</v>
      </c>
      <c r="AX13" t="s">
        <v>58</v>
      </c>
      <c r="AY13">
        <v>404.88</v>
      </c>
      <c r="AZ13">
        <v>246.02</v>
      </c>
      <c r="BA13">
        <v>39.49</v>
      </c>
      <c r="BB13">
        <v>14.16</v>
      </c>
      <c r="BC13">
        <v>3.6</v>
      </c>
      <c r="BD13">
        <v>29.77</v>
      </c>
    </row>
    <row r="14" spans="1:56" ht="30" x14ac:dyDescent="0.25">
      <c r="A14" t="s">
        <v>55</v>
      </c>
      <c r="B14" t="s">
        <v>56</v>
      </c>
      <c r="C14" t="s">
        <v>95</v>
      </c>
      <c r="D14" s="79" t="s">
        <v>96</v>
      </c>
      <c r="E14" t="s">
        <v>97</v>
      </c>
      <c r="F14" s="76">
        <v>300780210</v>
      </c>
      <c r="G14" t="s">
        <v>61</v>
      </c>
      <c r="H14">
        <v>0</v>
      </c>
      <c r="I14" t="s">
        <v>58</v>
      </c>
      <c r="J14" t="s">
        <v>58</v>
      </c>
      <c r="K14">
        <v>0</v>
      </c>
      <c r="L14">
        <v>112</v>
      </c>
      <c r="M14" t="s">
        <v>58</v>
      </c>
      <c r="N14" t="s">
        <v>58</v>
      </c>
      <c r="O14" t="s">
        <v>58</v>
      </c>
      <c r="P14">
        <v>15</v>
      </c>
      <c r="Q14" t="s">
        <v>58</v>
      </c>
      <c r="R14">
        <v>46875</v>
      </c>
      <c r="S14">
        <v>80</v>
      </c>
      <c r="T14" t="s">
        <v>58</v>
      </c>
      <c r="U14" t="s">
        <v>58</v>
      </c>
      <c r="V14">
        <v>1094</v>
      </c>
      <c r="W14">
        <v>42250</v>
      </c>
      <c r="X14" t="s">
        <v>58</v>
      </c>
      <c r="Y14" t="s">
        <v>58</v>
      </c>
      <c r="Z14" t="s">
        <v>58</v>
      </c>
      <c r="AA14">
        <v>5566</v>
      </c>
      <c r="AB14" t="s">
        <v>58</v>
      </c>
      <c r="AC14">
        <v>16724</v>
      </c>
      <c r="AD14" t="s">
        <v>58</v>
      </c>
      <c r="AE14" t="s">
        <v>58</v>
      </c>
      <c r="AF14" t="s">
        <v>58</v>
      </c>
      <c r="AG14" t="s">
        <v>58</v>
      </c>
      <c r="AH14" t="s">
        <v>58</v>
      </c>
      <c r="AI14" t="s">
        <v>58</v>
      </c>
      <c r="AJ14" t="s">
        <v>58</v>
      </c>
      <c r="AK14" t="s">
        <v>58</v>
      </c>
      <c r="AL14" t="s">
        <v>58</v>
      </c>
      <c r="AM14" t="s">
        <v>58</v>
      </c>
      <c r="AN14" t="s">
        <v>58</v>
      </c>
      <c r="AO14" t="s">
        <v>58</v>
      </c>
      <c r="AP14">
        <v>1513</v>
      </c>
      <c r="AQ14" t="s">
        <v>58</v>
      </c>
      <c r="AR14">
        <v>8</v>
      </c>
      <c r="AS14" t="s">
        <v>58</v>
      </c>
      <c r="AT14" t="s">
        <v>58</v>
      </c>
      <c r="AU14">
        <v>5.31</v>
      </c>
      <c r="AV14" t="s">
        <v>58</v>
      </c>
      <c r="AW14" t="s">
        <v>58</v>
      </c>
      <c r="AX14">
        <v>4</v>
      </c>
      <c r="AY14">
        <v>58.25</v>
      </c>
      <c r="AZ14">
        <v>33.1</v>
      </c>
      <c r="BA14">
        <v>8.89</v>
      </c>
      <c r="BB14">
        <v>3.63</v>
      </c>
      <c r="BC14">
        <v>9.23</v>
      </c>
      <c r="BD14">
        <v>1</v>
      </c>
    </row>
    <row r="15" spans="1:56" ht="30" x14ac:dyDescent="0.25">
      <c r="A15" t="s">
        <v>55</v>
      </c>
      <c r="B15" t="s">
        <v>56</v>
      </c>
      <c r="C15" t="s">
        <v>98</v>
      </c>
      <c r="D15" s="79" t="s">
        <v>99</v>
      </c>
      <c r="E15" t="s">
        <v>83</v>
      </c>
      <c r="F15" s="76">
        <v>300780244</v>
      </c>
      <c r="G15" t="s">
        <v>61</v>
      </c>
      <c r="H15">
        <v>0</v>
      </c>
      <c r="I15" t="s">
        <v>58</v>
      </c>
      <c r="J15" t="s">
        <v>58</v>
      </c>
      <c r="K15">
        <v>0</v>
      </c>
      <c r="L15">
        <v>70</v>
      </c>
      <c r="M15" t="s">
        <v>58</v>
      </c>
      <c r="N15" t="s">
        <v>58</v>
      </c>
      <c r="O15" t="s">
        <v>58</v>
      </c>
      <c r="P15" t="s">
        <v>58</v>
      </c>
      <c r="Q15" t="s">
        <v>58</v>
      </c>
      <c r="R15">
        <v>25550</v>
      </c>
      <c r="S15" t="s">
        <v>58</v>
      </c>
      <c r="T15" t="s">
        <v>58</v>
      </c>
      <c r="U15" t="s">
        <v>58</v>
      </c>
      <c r="V15">
        <v>685</v>
      </c>
      <c r="W15">
        <v>23401</v>
      </c>
      <c r="X15" t="s">
        <v>58</v>
      </c>
      <c r="Y15" t="s">
        <v>58</v>
      </c>
      <c r="Z15" t="s">
        <v>58</v>
      </c>
      <c r="AA15" t="s">
        <v>58</v>
      </c>
      <c r="AB15" t="s">
        <v>58</v>
      </c>
      <c r="AC15" t="s">
        <v>58</v>
      </c>
      <c r="AD15" t="s">
        <v>58</v>
      </c>
      <c r="AE15" t="s">
        <v>58</v>
      </c>
      <c r="AF15" t="s">
        <v>58</v>
      </c>
      <c r="AG15" t="s">
        <v>58</v>
      </c>
      <c r="AH15" t="s">
        <v>58</v>
      </c>
      <c r="AI15" t="s">
        <v>58</v>
      </c>
      <c r="AJ15" t="s">
        <v>58</v>
      </c>
      <c r="AK15" t="s">
        <v>58</v>
      </c>
      <c r="AL15" t="s">
        <v>58</v>
      </c>
      <c r="AM15" t="s">
        <v>58</v>
      </c>
      <c r="AN15" t="s">
        <v>58</v>
      </c>
      <c r="AO15" t="s">
        <v>58</v>
      </c>
      <c r="AP15">
        <v>470</v>
      </c>
      <c r="AQ15" t="s">
        <v>58</v>
      </c>
      <c r="AR15">
        <v>2</v>
      </c>
      <c r="AS15">
        <v>1</v>
      </c>
      <c r="AT15" t="s">
        <v>58</v>
      </c>
      <c r="AU15">
        <v>1.83</v>
      </c>
      <c r="AV15" t="s">
        <v>58</v>
      </c>
      <c r="AW15" t="s">
        <v>58</v>
      </c>
      <c r="AX15" t="s">
        <v>58</v>
      </c>
      <c r="AY15">
        <v>36.299999999999997</v>
      </c>
      <c r="AZ15">
        <v>19.829999999999998</v>
      </c>
      <c r="BA15">
        <v>5.65</v>
      </c>
      <c r="BB15">
        <v>2.09</v>
      </c>
      <c r="BC15">
        <v>0.78</v>
      </c>
      <c r="BD15">
        <v>1.26</v>
      </c>
    </row>
    <row r="16" spans="1:56" ht="30" x14ac:dyDescent="0.25">
      <c r="A16" t="s">
        <v>55</v>
      </c>
      <c r="B16" t="s">
        <v>56</v>
      </c>
      <c r="C16" t="s">
        <v>100</v>
      </c>
      <c r="D16" s="79" t="s">
        <v>101</v>
      </c>
      <c r="E16" t="s">
        <v>102</v>
      </c>
      <c r="F16" s="76">
        <v>300780251</v>
      </c>
      <c r="G16" t="s">
        <v>61</v>
      </c>
      <c r="H16">
        <v>0</v>
      </c>
      <c r="I16" t="s">
        <v>58</v>
      </c>
      <c r="J16" t="s">
        <v>58</v>
      </c>
      <c r="K16">
        <v>0</v>
      </c>
      <c r="L16">
        <v>227</v>
      </c>
      <c r="M16" t="s">
        <v>58</v>
      </c>
      <c r="N16" t="s">
        <v>58</v>
      </c>
      <c r="O16" t="s">
        <v>58</v>
      </c>
      <c r="P16" t="s">
        <v>58</v>
      </c>
      <c r="Q16" t="s">
        <v>58</v>
      </c>
      <c r="R16">
        <v>73000</v>
      </c>
      <c r="S16" t="s">
        <v>58</v>
      </c>
      <c r="T16" t="s">
        <v>58</v>
      </c>
      <c r="U16" t="s">
        <v>58</v>
      </c>
      <c r="V16">
        <v>891</v>
      </c>
      <c r="W16">
        <v>64825</v>
      </c>
      <c r="X16" t="s">
        <v>58</v>
      </c>
      <c r="Y16" t="s">
        <v>58</v>
      </c>
      <c r="Z16" t="s">
        <v>58</v>
      </c>
      <c r="AA16" t="s">
        <v>58</v>
      </c>
      <c r="AB16" t="s">
        <v>58</v>
      </c>
      <c r="AC16" t="s">
        <v>58</v>
      </c>
      <c r="AD16" t="s">
        <v>58</v>
      </c>
      <c r="AE16" t="s">
        <v>58</v>
      </c>
      <c r="AF16" t="s">
        <v>58</v>
      </c>
      <c r="AG16" t="s">
        <v>58</v>
      </c>
      <c r="AH16" t="s">
        <v>58</v>
      </c>
      <c r="AI16" t="s">
        <v>58</v>
      </c>
      <c r="AJ16" t="s">
        <v>58</v>
      </c>
      <c r="AK16" t="s">
        <v>58</v>
      </c>
      <c r="AL16" t="s">
        <v>58</v>
      </c>
      <c r="AM16" t="s">
        <v>58</v>
      </c>
      <c r="AN16" t="s">
        <v>58</v>
      </c>
      <c r="AO16" t="s">
        <v>58</v>
      </c>
      <c r="AP16">
        <v>630</v>
      </c>
      <c r="AQ16" t="s">
        <v>58</v>
      </c>
      <c r="AR16">
        <v>7</v>
      </c>
      <c r="AS16" t="s">
        <v>58</v>
      </c>
      <c r="AT16" t="s">
        <v>58</v>
      </c>
      <c r="AU16" t="s">
        <v>58</v>
      </c>
      <c r="AV16" t="s">
        <v>58</v>
      </c>
      <c r="AW16" t="s">
        <v>58</v>
      </c>
      <c r="AX16" t="s">
        <v>58</v>
      </c>
      <c r="AY16">
        <v>62.28</v>
      </c>
      <c r="AZ16">
        <v>29.56</v>
      </c>
      <c r="BA16">
        <v>26.74</v>
      </c>
      <c r="BB16">
        <v>1.77</v>
      </c>
      <c r="BC16">
        <v>1</v>
      </c>
      <c r="BD16">
        <v>3.21</v>
      </c>
    </row>
    <row r="17" spans="1:56" x14ac:dyDescent="0.25">
      <c r="A17" t="s">
        <v>55</v>
      </c>
      <c r="B17" t="s">
        <v>56</v>
      </c>
      <c r="C17" t="s">
        <v>103</v>
      </c>
      <c r="D17" s="79" t="s">
        <v>104</v>
      </c>
      <c r="E17" t="s">
        <v>105</v>
      </c>
      <c r="F17" s="76">
        <v>300780269</v>
      </c>
      <c r="G17" t="s">
        <v>61</v>
      </c>
      <c r="H17">
        <v>0</v>
      </c>
      <c r="I17" t="s">
        <v>58</v>
      </c>
      <c r="J17" t="s">
        <v>58</v>
      </c>
      <c r="K17">
        <v>0</v>
      </c>
      <c r="L17">
        <v>96</v>
      </c>
      <c r="M17" t="s">
        <v>58</v>
      </c>
      <c r="N17" t="s">
        <v>58</v>
      </c>
      <c r="O17" t="s">
        <v>58</v>
      </c>
      <c r="P17">
        <v>9</v>
      </c>
      <c r="Q17" t="s">
        <v>58</v>
      </c>
      <c r="R17">
        <v>35040</v>
      </c>
      <c r="S17">
        <v>12</v>
      </c>
      <c r="T17" t="s">
        <v>58</v>
      </c>
      <c r="U17" t="s">
        <v>58</v>
      </c>
      <c r="V17">
        <v>1086</v>
      </c>
      <c r="W17">
        <v>32156</v>
      </c>
      <c r="X17" t="s">
        <v>58</v>
      </c>
      <c r="Y17" t="s">
        <v>58</v>
      </c>
      <c r="Z17" t="s">
        <v>58</v>
      </c>
      <c r="AA17">
        <v>1685</v>
      </c>
      <c r="AB17" t="s">
        <v>58</v>
      </c>
      <c r="AC17">
        <v>3825</v>
      </c>
      <c r="AD17" t="s">
        <v>58</v>
      </c>
      <c r="AE17" t="s">
        <v>58</v>
      </c>
      <c r="AF17" t="s">
        <v>58</v>
      </c>
      <c r="AG17" t="s">
        <v>58</v>
      </c>
      <c r="AH17" t="s">
        <v>58</v>
      </c>
      <c r="AI17" t="s">
        <v>58</v>
      </c>
      <c r="AJ17" t="s">
        <v>58</v>
      </c>
      <c r="AK17" t="s">
        <v>58</v>
      </c>
      <c r="AL17" t="s">
        <v>58</v>
      </c>
      <c r="AM17" t="s">
        <v>58</v>
      </c>
      <c r="AN17" t="s">
        <v>58</v>
      </c>
      <c r="AO17" t="s">
        <v>58</v>
      </c>
      <c r="AP17">
        <v>908</v>
      </c>
      <c r="AQ17" t="s">
        <v>58</v>
      </c>
      <c r="AR17">
        <v>4</v>
      </c>
      <c r="AS17" t="s">
        <v>58</v>
      </c>
      <c r="AT17" t="s">
        <v>58</v>
      </c>
      <c r="AU17">
        <v>0.85</v>
      </c>
      <c r="AV17" t="s">
        <v>58</v>
      </c>
      <c r="AW17" t="s">
        <v>58</v>
      </c>
      <c r="AX17">
        <v>3</v>
      </c>
      <c r="AY17">
        <v>67.040000000000006</v>
      </c>
      <c r="AZ17">
        <v>39.18</v>
      </c>
      <c r="BA17">
        <v>10.95</v>
      </c>
      <c r="BB17">
        <v>2.4500000000000002</v>
      </c>
      <c r="BC17">
        <v>1</v>
      </c>
      <c r="BD17">
        <v>1</v>
      </c>
    </row>
    <row r="18" spans="1:56" ht="30" x14ac:dyDescent="0.25">
      <c r="A18" t="s">
        <v>55</v>
      </c>
      <c r="B18" t="s">
        <v>56</v>
      </c>
      <c r="C18" t="s">
        <v>106</v>
      </c>
      <c r="D18" s="79" t="s">
        <v>107</v>
      </c>
      <c r="E18" t="s">
        <v>108</v>
      </c>
      <c r="F18" s="76">
        <v>300780384</v>
      </c>
      <c r="G18" t="s">
        <v>61</v>
      </c>
      <c r="H18">
        <v>1</v>
      </c>
      <c r="I18" t="s">
        <v>58</v>
      </c>
      <c r="J18" t="s">
        <v>58</v>
      </c>
      <c r="K18">
        <v>0</v>
      </c>
      <c r="L18" t="s">
        <v>58</v>
      </c>
      <c r="M18">
        <v>6</v>
      </c>
      <c r="N18" t="s">
        <v>58</v>
      </c>
      <c r="O18" t="s">
        <v>58</v>
      </c>
      <c r="P18" t="s">
        <v>58</v>
      </c>
      <c r="Q18" t="s">
        <v>58</v>
      </c>
      <c r="R18" t="s">
        <v>58</v>
      </c>
      <c r="S18">
        <v>8</v>
      </c>
      <c r="T18" t="s">
        <v>58</v>
      </c>
      <c r="U18" t="s">
        <v>58</v>
      </c>
      <c r="V18" t="s">
        <v>58</v>
      </c>
      <c r="W18" t="s">
        <v>58</v>
      </c>
      <c r="X18">
        <v>679</v>
      </c>
      <c r="Y18" t="s">
        <v>58</v>
      </c>
      <c r="Z18" t="s">
        <v>58</v>
      </c>
      <c r="AA18" t="s">
        <v>58</v>
      </c>
      <c r="AB18" t="s">
        <v>58</v>
      </c>
      <c r="AC18">
        <v>1707</v>
      </c>
      <c r="AD18" t="s">
        <v>58</v>
      </c>
      <c r="AE18" t="s">
        <v>58</v>
      </c>
      <c r="AF18">
        <v>1</v>
      </c>
      <c r="AG18">
        <v>1</v>
      </c>
      <c r="AH18" t="s">
        <v>58</v>
      </c>
      <c r="AI18">
        <v>4141</v>
      </c>
      <c r="AJ18">
        <v>1490</v>
      </c>
      <c r="AK18" t="s">
        <v>58</v>
      </c>
      <c r="AL18">
        <v>11</v>
      </c>
      <c r="AM18" t="s">
        <v>58</v>
      </c>
      <c r="AN18" t="s">
        <v>58</v>
      </c>
      <c r="AO18">
        <v>53</v>
      </c>
      <c r="AP18">
        <v>393</v>
      </c>
      <c r="AQ18">
        <v>357</v>
      </c>
      <c r="AR18" t="s">
        <v>58</v>
      </c>
      <c r="AS18" t="s">
        <v>58</v>
      </c>
      <c r="AT18" t="s">
        <v>58</v>
      </c>
      <c r="AU18" t="s">
        <v>58</v>
      </c>
      <c r="AV18" t="s">
        <v>58</v>
      </c>
      <c r="AW18" t="s">
        <v>58</v>
      </c>
      <c r="AX18" t="s">
        <v>58</v>
      </c>
      <c r="AY18">
        <v>25.25</v>
      </c>
      <c r="AZ18">
        <v>8.17</v>
      </c>
      <c r="BA18" t="s">
        <v>58</v>
      </c>
      <c r="BB18">
        <v>3</v>
      </c>
      <c r="BC18">
        <v>2.62</v>
      </c>
      <c r="BD18">
        <v>11.46</v>
      </c>
    </row>
    <row r="19" spans="1:56" x14ac:dyDescent="0.25">
      <c r="A19" t="s">
        <v>55</v>
      </c>
      <c r="B19" t="s">
        <v>56</v>
      </c>
      <c r="C19" t="s">
        <v>88</v>
      </c>
      <c r="D19" s="79" t="s">
        <v>89</v>
      </c>
      <c r="E19" t="s">
        <v>88</v>
      </c>
      <c r="F19" s="76">
        <v>300780764</v>
      </c>
      <c r="G19" t="s">
        <v>61</v>
      </c>
      <c r="H19">
        <v>0</v>
      </c>
      <c r="I19" t="s">
        <v>58</v>
      </c>
      <c r="J19" t="s">
        <v>58</v>
      </c>
      <c r="K19">
        <v>0</v>
      </c>
      <c r="L19">
        <v>21</v>
      </c>
      <c r="M19" t="s">
        <v>58</v>
      </c>
      <c r="N19" t="s">
        <v>58</v>
      </c>
      <c r="O19" t="s">
        <v>58</v>
      </c>
      <c r="P19" t="s">
        <v>58</v>
      </c>
      <c r="Q19" t="s">
        <v>58</v>
      </c>
      <c r="R19">
        <v>7665</v>
      </c>
      <c r="S19">
        <v>10</v>
      </c>
      <c r="T19" t="s">
        <v>58</v>
      </c>
      <c r="U19" t="s">
        <v>58</v>
      </c>
      <c r="V19">
        <v>112</v>
      </c>
      <c r="W19">
        <v>5103</v>
      </c>
      <c r="X19" t="s">
        <v>58</v>
      </c>
      <c r="Y19" t="s">
        <v>58</v>
      </c>
      <c r="Z19" t="s">
        <v>58</v>
      </c>
      <c r="AA19" t="s">
        <v>58</v>
      </c>
      <c r="AB19" t="s">
        <v>58</v>
      </c>
      <c r="AC19">
        <v>5035</v>
      </c>
      <c r="AD19" t="s">
        <v>58</v>
      </c>
      <c r="AE19" t="s">
        <v>58</v>
      </c>
      <c r="AF19">
        <v>1</v>
      </c>
      <c r="AG19" t="s">
        <v>58</v>
      </c>
      <c r="AH19" t="s">
        <v>58</v>
      </c>
      <c r="AI19">
        <v>455</v>
      </c>
      <c r="AJ19" t="s">
        <v>58</v>
      </c>
      <c r="AK19" t="s">
        <v>58</v>
      </c>
      <c r="AL19" t="s">
        <v>58</v>
      </c>
      <c r="AM19" t="s">
        <v>58</v>
      </c>
      <c r="AN19" t="s">
        <v>58</v>
      </c>
      <c r="AO19" t="s">
        <v>58</v>
      </c>
      <c r="AP19">
        <v>340</v>
      </c>
      <c r="AQ19">
        <v>248</v>
      </c>
      <c r="AR19" t="s">
        <v>58</v>
      </c>
      <c r="AS19">
        <v>1.75</v>
      </c>
      <c r="AT19" t="s">
        <v>58</v>
      </c>
      <c r="AU19" t="s">
        <v>58</v>
      </c>
      <c r="AV19" t="s">
        <v>58</v>
      </c>
      <c r="AW19" t="s">
        <v>58</v>
      </c>
      <c r="AX19" t="s">
        <v>58</v>
      </c>
      <c r="AY19">
        <v>28.57</v>
      </c>
      <c r="AZ19">
        <v>11</v>
      </c>
      <c r="BA19">
        <v>2</v>
      </c>
      <c r="BB19">
        <v>5.17</v>
      </c>
      <c r="BC19" t="s">
        <v>58</v>
      </c>
      <c r="BD19">
        <v>10.4</v>
      </c>
    </row>
    <row r="20" spans="1:56" ht="30" x14ac:dyDescent="0.25">
      <c r="A20" t="s">
        <v>55</v>
      </c>
      <c r="B20" t="s">
        <v>56</v>
      </c>
      <c r="C20" t="s">
        <v>109</v>
      </c>
      <c r="D20" s="79" t="s">
        <v>110</v>
      </c>
      <c r="E20" t="s">
        <v>111</v>
      </c>
      <c r="F20" s="76">
        <v>300781424</v>
      </c>
      <c r="G20" t="s">
        <v>61</v>
      </c>
      <c r="H20">
        <v>1</v>
      </c>
      <c r="I20" t="s">
        <v>58</v>
      </c>
      <c r="J20">
        <v>0</v>
      </c>
      <c r="K20">
        <v>0</v>
      </c>
      <c r="L20">
        <v>63</v>
      </c>
      <c r="M20" t="s">
        <v>58</v>
      </c>
      <c r="N20" t="s">
        <v>58</v>
      </c>
      <c r="O20" t="s">
        <v>58</v>
      </c>
      <c r="P20" t="s">
        <v>58</v>
      </c>
      <c r="Q20" t="s">
        <v>58</v>
      </c>
      <c r="R20">
        <v>21278</v>
      </c>
      <c r="S20">
        <v>8</v>
      </c>
      <c r="T20" t="s">
        <v>58</v>
      </c>
      <c r="U20" t="s">
        <v>58</v>
      </c>
      <c r="V20">
        <v>474</v>
      </c>
      <c r="W20">
        <v>21278</v>
      </c>
      <c r="X20" t="s">
        <v>58</v>
      </c>
      <c r="Y20" t="s">
        <v>58</v>
      </c>
      <c r="Z20" t="s">
        <v>58</v>
      </c>
      <c r="AA20" t="s">
        <v>58</v>
      </c>
      <c r="AB20" t="s">
        <v>58</v>
      </c>
      <c r="AC20">
        <v>4697</v>
      </c>
      <c r="AD20" t="s">
        <v>58</v>
      </c>
      <c r="AE20" t="s">
        <v>58</v>
      </c>
      <c r="AF20" t="s">
        <v>58</v>
      </c>
      <c r="AG20" t="s">
        <v>58</v>
      </c>
      <c r="AH20" t="s">
        <v>58</v>
      </c>
      <c r="AI20" t="s">
        <v>58</v>
      </c>
      <c r="AJ20" t="s">
        <v>58</v>
      </c>
      <c r="AK20" t="s">
        <v>58</v>
      </c>
      <c r="AL20" t="s">
        <v>58</v>
      </c>
      <c r="AM20" t="s">
        <v>58</v>
      </c>
      <c r="AN20" t="s">
        <v>58</v>
      </c>
      <c r="AO20" t="s">
        <v>58</v>
      </c>
      <c r="AP20">
        <v>510</v>
      </c>
      <c r="AQ20" t="s">
        <v>58</v>
      </c>
      <c r="AR20">
        <v>3</v>
      </c>
      <c r="AS20">
        <v>0</v>
      </c>
      <c r="AT20">
        <v>3</v>
      </c>
      <c r="AU20">
        <v>0.5</v>
      </c>
      <c r="AV20" t="s">
        <v>58</v>
      </c>
      <c r="AW20" t="s">
        <v>58</v>
      </c>
      <c r="AX20" t="s">
        <v>58</v>
      </c>
      <c r="AY20">
        <v>0</v>
      </c>
      <c r="AZ20">
        <v>15.8</v>
      </c>
      <c r="BA20">
        <v>7</v>
      </c>
      <c r="BB20">
        <v>1.69</v>
      </c>
      <c r="BC20">
        <v>2.1800000000000002</v>
      </c>
      <c r="BD20">
        <v>2</v>
      </c>
    </row>
    <row r="21" spans="1:56" x14ac:dyDescent="0.25">
      <c r="A21" t="s">
        <v>55</v>
      </c>
      <c r="B21" t="s">
        <v>56</v>
      </c>
      <c r="C21" t="s">
        <v>125</v>
      </c>
      <c r="D21" s="79" t="s">
        <v>126</v>
      </c>
      <c r="E21" t="s">
        <v>127</v>
      </c>
      <c r="F21" s="76">
        <v>310780119</v>
      </c>
      <c r="G21" t="s">
        <v>61</v>
      </c>
      <c r="H21">
        <v>1</v>
      </c>
      <c r="I21" t="s">
        <v>58</v>
      </c>
      <c r="J21" t="s">
        <v>58</v>
      </c>
      <c r="K21">
        <v>0</v>
      </c>
      <c r="L21">
        <v>141</v>
      </c>
      <c r="M21" t="s">
        <v>58</v>
      </c>
      <c r="N21" t="s">
        <v>58</v>
      </c>
      <c r="O21" t="s">
        <v>58</v>
      </c>
      <c r="P21" t="s">
        <v>58</v>
      </c>
      <c r="Q21" t="s">
        <v>58</v>
      </c>
      <c r="R21">
        <v>51465</v>
      </c>
      <c r="S21">
        <v>64</v>
      </c>
      <c r="T21" t="s">
        <v>58</v>
      </c>
      <c r="U21" t="s">
        <v>58</v>
      </c>
      <c r="V21">
        <v>1321</v>
      </c>
      <c r="W21">
        <v>45322</v>
      </c>
      <c r="X21" t="s">
        <v>58</v>
      </c>
      <c r="Y21" t="s">
        <v>58</v>
      </c>
      <c r="Z21" t="s">
        <v>58</v>
      </c>
      <c r="AA21" t="s">
        <v>58</v>
      </c>
      <c r="AB21" t="s">
        <v>58</v>
      </c>
      <c r="AC21">
        <v>1251</v>
      </c>
      <c r="AD21" t="s">
        <v>58</v>
      </c>
      <c r="AE21" t="s">
        <v>58</v>
      </c>
      <c r="AF21" t="s">
        <v>58</v>
      </c>
      <c r="AG21" t="s">
        <v>58</v>
      </c>
      <c r="AH21" t="s">
        <v>58</v>
      </c>
      <c r="AI21" t="s">
        <v>58</v>
      </c>
      <c r="AJ21" t="s">
        <v>58</v>
      </c>
      <c r="AK21" t="s">
        <v>58</v>
      </c>
      <c r="AL21" t="s">
        <v>58</v>
      </c>
      <c r="AM21" t="s">
        <v>58</v>
      </c>
      <c r="AN21" t="s">
        <v>58</v>
      </c>
      <c r="AO21" t="s">
        <v>58</v>
      </c>
      <c r="AP21">
        <v>862</v>
      </c>
      <c r="AQ21" t="s">
        <v>58</v>
      </c>
      <c r="AR21">
        <v>8</v>
      </c>
      <c r="AS21">
        <v>0.2</v>
      </c>
      <c r="AT21">
        <v>1</v>
      </c>
      <c r="AU21">
        <v>5.0199999999999996</v>
      </c>
      <c r="AV21" t="s">
        <v>58</v>
      </c>
      <c r="AW21" t="s">
        <v>58</v>
      </c>
      <c r="AX21">
        <v>9</v>
      </c>
      <c r="AY21">
        <v>57.95</v>
      </c>
      <c r="AZ21">
        <v>41.8</v>
      </c>
      <c r="BA21">
        <v>12.05</v>
      </c>
      <c r="BB21">
        <v>0.5</v>
      </c>
      <c r="BC21">
        <v>2.4</v>
      </c>
      <c r="BD21">
        <v>1</v>
      </c>
    </row>
    <row r="22" spans="1:56" x14ac:dyDescent="0.25">
      <c r="A22" t="s">
        <v>55</v>
      </c>
      <c r="B22" t="s">
        <v>56</v>
      </c>
      <c r="C22" t="s">
        <v>128</v>
      </c>
      <c r="D22" s="79" t="s">
        <v>129</v>
      </c>
      <c r="E22" t="s">
        <v>83</v>
      </c>
      <c r="F22" s="76">
        <v>310780143</v>
      </c>
      <c r="G22" t="s">
        <v>61</v>
      </c>
      <c r="H22">
        <v>0</v>
      </c>
      <c r="I22" t="s">
        <v>58</v>
      </c>
      <c r="J22" t="s">
        <v>58</v>
      </c>
      <c r="K22">
        <v>0</v>
      </c>
      <c r="L22">
        <v>255</v>
      </c>
      <c r="M22" t="s">
        <v>58</v>
      </c>
      <c r="N22" t="s">
        <v>58</v>
      </c>
      <c r="O22" t="s">
        <v>58</v>
      </c>
      <c r="P22" t="s">
        <v>58</v>
      </c>
      <c r="Q22" t="s">
        <v>58</v>
      </c>
      <c r="R22">
        <v>93075</v>
      </c>
      <c r="S22">
        <v>26</v>
      </c>
      <c r="T22" t="s">
        <v>58</v>
      </c>
      <c r="U22" t="s">
        <v>58</v>
      </c>
      <c r="V22">
        <v>2453</v>
      </c>
      <c r="W22">
        <v>92230</v>
      </c>
      <c r="X22" t="s">
        <v>58</v>
      </c>
      <c r="Y22" t="s">
        <v>58</v>
      </c>
      <c r="Z22" t="s">
        <v>58</v>
      </c>
      <c r="AA22" t="s">
        <v>58</v>
      </c>
      <c r="AB22" t="s">
        <v>58</v>
      </c>
      <c r="AC22">
        <v>6154</v>
      </c>
      <c r="AD22" t="s">
        <v>58</v>
      </c>
      <c r="AE22" t="s">
        <v>58</v>
      </c>
      <c r="AF22" t="s">
        <v>58</v>
      </c>
      <c r="AG22" t="s">
        <v>58</v>
      </c>
      <c r="AH22" t="s">
        <v>58</v>
      </c>
      <c r="AI22" t="s">
        <v>58</v>
      </c>
      <c r="AJ22" t="s">
        <v>58</v>
      </c>
      <c r="AK22" t="s">
        <v>58</v>
      </c>
      <c r="AL22" t="s">
        <v>58</v>
      </c>
      <c r="AM22" t="s">
        <v>58</v>
      </c>
      <c r="AN22" t="s">
        <v>58</v>
      </c>
      <c r="AO22" t="s">
        <v>58</v>
      </c>
      <c r="AP22">
        <v>2062</v>
      </c>
      <c r="AQ22" t="s">
        <v>58</v>
      </c>
      <c r="AR22">
        <v>11</v>
      </c>
      <c r="AS22">
        <v>4</v>
      </c>
      <c r="AT22">
        <v>1</v>
      </c>
      <c r="AU22">
        <v>3.96</v>
      </c>
      <c r="AV22" t="s">
        <v>58</v>
      </c>
      <c r="AW22" t="s">
        <v>58</v>
      </c>
      <c r="AX22" t="s">
        <v>58</v>
      </c>
      <c r="AY22">
        <v>150.63</v>
      </c>
      <c r="AZ22">
        <v>77.44</v>
      </c>
      <c r="BA22">
        <v>19.440000000000001</v>
      </c>
      <c r="BB22">
        <v>9.17</v>
      </c>
      <c r="BC22">
        <v>4.2</v>
      </c>
      <c r="BD22">
        <v>9.26</v>
      </c>
    </row>
    <row r="23" spans="1:56" ht="30" x14ac:dyDescent="0.25">
      <c r="A23" t="s">
        <v>55</v>
      </c>
      <c r="B23" t="s">
        <v>56</v>
      </c>
      <c r="C23" t="s">
        <v>130</v>
      </c>
      <c r="D23" s="79" t="s">
        <v>131</v>
      </c>
      <c r="E23" t="s">
        <v>132</v>
      </c>
      <c r="F23" s="76">
        <v>310780358</v>
      </c>
      <c r="G23" t="s">
        <v>61</v>
      </c>
      <c r="H23">
        <v>0</v>
      </c>
      <c r="I23" t="s">
        <v>58</v>
      </c>
      <c r="J23" t="s">
        <v>58</v>
      </c>
      <c r="K23">
        <v>0</v>
      </c>
      <c r="L23">
        <v>100</v>
      </c>
      <c r="M23" t="s">
        <v>58</v>
      </c>
      <c r="N23" t="s">
        <v>58</v>
      </c>
      <c r="O23" t="s">
        <v>58</v>
      </c>
      <c r="P23" t="s">
        <v>58</v>
      </c>
      <c r="Q23" t="s">
        <v>58</v>
      </c>
      <c r="R23">
        <v>36500</v>
      </c>
      <c r="S23">
        <v>6</v>
      </c>
      <c r="T23" t="s">
        <v>58</v>
      </c>
      <c r="U23">
        <v>1</v>
      </c>
      <c r="V23">
        <v>1322</v>
      </c>
      <c r="W23">
        <v>35875</v>
      </c>
      <c r="X23" t="s">
        <v>58</v>
      </c>
      <c r="Y23" t="s">
        <v>58</v>
      </c>
      <c r="Z23" t="s">
        <v>58</v>
      </c>
      <c r="AA23" t="s">
        <v>58</v>
      </c>
      <c r="AB23" t="s">
        <v>58</v>
      </c>
      <c r="AC23">
        <v>1225</v>
      </c>
      <c r="AD23" t="s">
        <v>58</v>
      </c>
      <c r="AE23">
        <v>1031</v>
      </c>
      <c r="AF23" t="s">
        <v>58</v>
      </c>
      <c r="AG23" t="s">
        <v>58</v>
      </c>
      <c r="AH23" t="s">
        <v>58</v>
      </c>
      <c r="AI23" t="s">
        <v>58</v>
      </c>
      <c r="AJ23" t="s">
        <v>58</v>
      </c>
      <c r="AK23" t="s">
        <v>58</v>
      </c>
      <c r="AL23" t="s">
        <v>58</v>
      </c>
      <c r="AM23" t="s">
        <v>58</v>
      </c>
      <c r="AN23" t="s">
        <v>58</v>
      </c>
      <c r="AO23" t="s">
        <v>58</v>
      </c>
      <c r="AP23">
        <v>839</v>
      </c>
      <c r="AQ23" t="s">
        <v>58</v>
      </c>
      <c r="AR23">
        <v>5</v>
      </c>
      <c r="AS23" t="s">
        <v>58</v>
      </c>
      <c r="AT23">
        <v>3</v>
      </c>
      <c r="AU23">
        <v>1.2</v>
      </c>
      <c r="AV23" t="s">
        <v>58</v>
      </c>
      <c r="AW23" t="s">
        <v>58</v>
      </c>
      <c r="AX23">
        <v>2</v>
      </c>
      <c r="AY23">
        <v>43.84</v>
      </c>
      <c r="AZ23">
        <v>29.58</v>
      </c>
      <c r="BA23">
        <v>11.12</v>
      </c>
      <c r="BB23">
        <v>2.14</v>
      </c>
      <c r="BC23">
        <v>0</v>
      </c>
      <c r="BD23">
        <v>1</v>
      </c>
    </row>
    <row r="24" spans="1:56" x14ac:dyDescent="0.25">
      <c r="A24" t="s">
        <v>55</v>
      </c>
      <c r="B24" t="s">
        <v>56</v>
      </c>
      <c r="C24" t="s">
        <v>115</v>
      </c>
      <c r="D24" s="79" t="s">
        <v>116</v>
      </c>
      <c r="E24" t="s">
        <v>115</v>
      </c>
      <c r="F24" s="76">
        <v>310780390</v>
      </c>
      <c r="G24" t="s">
        <v>61</v>
      </c>
      <c r="H24">
        <v>0</v>
      </c>
      <c r="I24" t="s">
        <v>58</v>
      </c>
      <c r="J24" t="s">
        <v>58</v>
      </c>
      <c r="K24">
        <v>0</v>
      </c>
      <c r="L24">
        <v>168</v>
      </c>
      <c r="M24" t="s">
        <v>58</v>
      </c>
      <c r="N24" t="s">
        <v>58</v>
      </c>
      <c r="O24" t="s">
        <v>58</v>
      </c>
      <c r="P24" t="s">
        <v>58</v>
      </c>
      <c r="Q24">
        <v>15</v>
      </c>
      <c r="R24">
        <v>66069</v>
      </c>
      <c r="S24" t="s">
        <v>58</v>
      </c>
      <c r="T24" t="s">
        <v>58</v>
      </c>
      <c r="U24" t="s">
        <v>58</v>
      </c>
      <c r="V24">
        <v>1349</v>
      </c>
      <c r="W24">
        <v>54100</v>
      </c>
      <c r="X24" t="s">
        <v>58</v>
      </c>
      <c r="Y24" t="s">
        <v>58</v>
      </c>
      <c r="Z24" t="s">
        <v>58</v>
      </c>
      <c r="AA24" t="s">
        <v>58</v>
      </c>
      <c r="AB24">
        <v>2747</v>
      </c>
      <c r="AC24" t="s">
        <v>58</v>
      </c>
      <c r="AD24" t="s">
        <v>58</v>
      </c>
      <c r="AE24" t="s">
        <v>58</v>
      </c>
      <c r="AF24" t="s">
        <v>58</v>
      </c>
      <c r="AG24" t="s">
        <v>58</v>
      </c>
      <c r="AH24" t="s">
        <v>58</v>
      </c>
      <c r="AI24" t="s">
        <v>58</v>
      </c>
      <c r="AJ24" t="s">
        <v>58</v>
      </c>
      <c r="AK24" t="s">
        <v>58</v>
      </c>
      <c r="AL24" t="s">
        <v>58</v>
      </c>
      <c r="AM24" t="s">
        <v>58</v>
      </c>
      <c r="AN24" t="s">
        <v>58</v>
      </c>
      <c r="AO24" t="s">
        <v>58</v>
      </c>
      <c r="AP24">
        <v>910</v>
      </c>
      <c r="AQ24" t="s">
        <v>58</v>
      </c>
      <c r="AR24">
        <v>6</v>
      </c>
      <c r="AS24" t="s">
        <v>58</v>
      </c>
      <c r="AT24">
        <v>3</v>
      </c>
      <c r="AU24">
        <v>7.81</v>
      </c>
      <c r="AV24" t="s">
        <v>58</v>
      </c>
      <c r="AW24" t="s">
        <v>58</v>
      </c>
      <c r="AX24" t="s">
        <v>58</v>
      </c>
      <c r="AY24">
        <v>113.76</v>
      </c>
      <c r="AZ24">
        <v>70.760000000000005</v>
      </c>
      <c r="BA24">
        <v>19.73</v>
      </c>
      <c r="BB24">
        <v>1</v>
      </c>
      <c r="BC24" t="s">
        <v>58</v>
      </c>
      <c r="BD24">
        <v>2.35</v>
      </c>
    </row>
    <row r="25" spans="1:56" s="102" customFormat="1" ht="30" x14ac:dyDescent="0.25">
      <c r="A25" s="102" t="s">
        <v>55</v>
      </c>
      <c r="B25" s="102" t="s">
        <v>56</v>
      </c>
      <c r="C25" s="102" t="s">
        <v>117</v>
      </c>
      <c r="D25" s="103" t="s">
        <v>118</v>
      </c>
      <c r="E25" s="102" t="s">
        <v>119</v>
      </c>
      <c r="F25" s="104">
        <v>310780754</v>
      </c>
      <c r="G25" s="102" t="s">
        <v>61</v>
      </c>
      <c r="H25" s="102">
        <v>1</v>
      </c>
      <c r="I25" s="102" t="s">
        <v>58</v>
      </c>
      <c r="J25" s="102">
        <v>8</v>
      </c>
      <c r="K25" s="102">
        <v>1</v>
      </c>
      <c r="L25" s="102">
        <v>264</v>
      </c>
      <c r="M25" s="102">
        <v>13</v>
      </c>
      <c r="N25" s="102">
        <v>19</v>
      </c>
      <c r="O25" s="102">
        <v>27</v>
      </c>
      <c r="P25" s="102">
        <v>8</v>
      </c>
      <c r="Q25" s="102">
        <v>15</v>
      </c>
      <c r="R25" s="102">
        <v>96360</v>
      </c>
      <c r="S25" s="102">
        <v>173</v>
      </c>
      <c r="T25" s="102">
        <v>1</v>
      </c>
      <c r="U25" s="102" t="s">
        <v>58</v>
      </c>
      <c r="V25" s="102">
        <v>2618</v>
      </c>
      <c r="W25" s="102">
        <v>82142</v>
      </c>
      <c r="X25" s="102">
        <v>2819</v>
      </c>
      <c r="Y25" s="102">
        <v>5608</v>
      </c>
      <c r="Z25" s="102">
        <v>7715</v>
      </c>
      <c r="AA25" s="102">
        <v>2226</v>
      </c>
      <c r="AB25" s="102">
        <v>2833</v>
      </c>
      <c r="AC25" s="102">
        <v>27152</v>
      </c>
      <c r="AD25" s="102">
        <v>0</v>
      </c>
      <c r="AE25" s="102" t="s">
        <v>58</v>
      </c>
      <c r="AF25" s="102">
        <v>18</v>
      </c>
      <c r="AG25" s="102">
        <v>0</v>
      </c>
      <c r="AH25" s="102">
        <v>17</v>
      </c>
      <c r="AI25" s="102">
        <v>76017</v>
      </c>
      <c r="AJ25" s="102">
        <v>0</v>
      </c>
      <c r="AK25" s="102">
        <v>55010</v>
      </c>
      <c r="AL25" s="102">
        <v>34871</v>
      </c>
      <c r="AM25" s="102">
        <v>321</v>
      </c>
      <c r="AN25" s="102">
        <v>19</v>
      </c>
      <c r="AO25" s="102">
        <v>4893</v>
      </c>
      <c r="AP25" s="102">
        <v>11681</v>
      </c>
      <c r="AQ25" s="102">
        <v>9712</v>
      </c>
      <c r="AR25" s="102" t="s">
        <v>58</v>
      </c>
      <c r="AS25" s="102">
        <v>67.37</v>
      </c>
      <c r="AT25" s="102" t="s">
        <v>58</v>
      </c>
      <c r="AU25" s="102">
        <v>9.61</v>
      </c>
      <c r="AV25" s="102" t="s">
        <v>58</v>
      </c>
      <c r="AW25" s="102" t="s">
        <v>58</v>
      </c>
      <c r="AX25" s="102" t="s">
        <v>58</v>
      </c>
      <c r="AY25" s="102">
        <v>997</v>
      </c>
      <c r="AZ25" s="102">
        <v>569.44000000000005</v>
      </c>
      <c r="BA25" s="102">
        <v>99.99</v>
      </c>
      <c r="BB25" s="102">
        <v>56.59</v>
      </c>
      <c r="BC25" s="102">
        <v>25.23</v>
      </c>
      <c r="BD25" s="102">
        <v>109.66</v>
      </c>
    </row>
    <row r="26" spans="1:56" x14ac:dyDescent="0.25">
      <c r="A26" t="s">
        <v>55</v>
      </c>
      <c r="B26" t="s">
        <v>56</v>
      </c>
      <c r="C26" t="s">
        <v>142</v>
      </c>
      <c r="D26" s="79" t="s">
        <v>143</v>
      </c>
      <c r="E26" t="s">
        <v>142</v>
      </c>
      <c r="F26" s="78">
        <v>310780895</v>
      </c>
      <c r="G26" t="s">
        <v>61</v>
      </c>
      <c r="H26">
        <v>1</v>
      </c>
      <c r="I26" t="s">
        <v>58</v>
      </c>
      <c r="J26">
        <v>1</v>
      </c>
      <c r="K26">
        <v>0</v>
      </c>
      <c r="L26" t="s">
        <v>58</v>
      </c>
      <c r="M26" t="s">
        <v>58</v>
      </c>
      <c r="N26" t="s">
        <v>58</v>
      </c>
      <c r="O26" t="s">
        <v>58</v>
      </c>
      <c r="P26" t="s">
        <v>58</v>
      </c>
      <c r="Q26" t="s">
        <v>58</v>
      </c>
      <c r="R26" t="s">
        <v>58</v>
      </c>
      <c r="S26">
        <v>90</v>
      </c>
      <c r="T26" t="s">
        <v>58</v>
      </c>
      <c r="U26" t="s">
        <v>58</v>
      </c>
      <c r="V26" t="s">
        <v>58</v>
      </c>
      <c r="W26" t="s">
        <v>58</v>
      </c>
      <c r="X26" t="s">
        <v>58</v>
      </c>
      <c r="Y26" t="s">
        <v>58</v>
      </c>
      <c r="Z26" t="s">
        <v>58</v>
      </c>
      <c r="AA26" t="s">
        <v>58</v>
      </c>
      <c r="AB26" t="s">
        <v>58</v>
      </c>
      <c r="AC26">
        <v>7280</v>
      </c>
      <c r="AD26" t="s">
        <v>58</v>
      </c>
      <c r="AE26" t="s">
        <v>58</v>
      </c>
      <c r="AF26">
        <v>12</v>
      </c>
      <c r="AG26">
        <v>3</v>
      </c>
      <c r="AH26">
        <v>6</v>
      </c>
      <c r="AI26">
        <v>33892</v>
      </c>
      <c r="AJ26">
        <v>1929</v>
      </c>
      <c r="AK26">
        <v>12998</v>
      </c>
      <c r="AL26">
        <v>153</v>
      </c>
      <c r="AM26">
        <v>27</v>
      </c>
      <c r="AN26">
        <v>1961</v>
      </c>
      <c r="AO26">
        <v>149</v>
      </c>
      <c r="AP26">
        <v>3912</v>
      </c>
      <c r="AQ26">
        <v>3881</v>
      </c>
      <c r="AR26">
        <v>24</v>
      </c>
      <c r="AS26">
        <v>13.26</v>
      </c>
      <c r="AT26" t="s">
        <v>58</v>
      </c>
      <c r="AU26" t="s">
        <v>58</v>
      </c>
      <c r="AV26" t="s">
        <v>58</v>
      </c>
      <c r="AW26" t="s">
        <v>58</v>
      </c>
      <c r="AX26">
        <v>2</v>
      </c>
      <c r="AY26">
        <v>113.63</v>
      </c>
      <c r="AZ26">
        <v>27.22</v>
      </c>
      <c r="BA26">
        <v>0</v>
      </c>
      <c r="BB26">
        <v>16.59</v>
      </c>
      <c r="BC26">
        <v>17.04</v>
      </c>
      <c r="BD26">
        <v>52.78</v>
      </c>
    </row>
    <row r="27" spans="1:56" ht="30" x14ac:dyDescent="0.25">
      <c r="A27" t="s">
        <v>55</v>
      </c>
      <c r="B27" t="s">
        <v>56</v>
      </c>
      <c r="C27" t="s">
        <v>133</v>
      </c>
      <c r="D27" s="79" t="s">
        <v>134</v>
      </c>
      <c r="E27" t="s">
        <v>135</v>
      </c>
      <c r="F27" s="76">
        <v>310781000</v>
      </c>
      <c r="G27" t="s">
        <v>61</v>
      </c>
      <c r="H27">
        <v>0</v>
      </c>
      <c r="I27" t="s">
        <v>58</v>
      </c>
      <c r="J27" t="s">
        <v>58</v>
      </c>
      <c r="K27">
        <v>0</v>
      </c>
      <c r="L27">
        <v>125</v>
      </c>
      <c r="M27" t="s">
        <v>58</v>
      </c>
      <c r="N27" t="s">
        <v>58</v>
      </c>
      <c r="O27" t="s">
        <v>58</v>
      </c>
      <c r="P27" t="s">
        <v>58</v>
      </c>
      <c r="Q27" t="s">
        <v>58</v>
      </c>
      <c r="R27">
        <v>45625</v>
      </c>
      <c r="S27">
        <v>5</v>
      </c>
      <c r="T27" t="s">
        <v>58</v>
      </c>
      <c r="U27" t="s">
        <v>58</v>
      </c>
      <c r="V27">
        <v>1164</v>
      </c>
      <c r="W27">
        <v>44879</v>
      </c>
      <c r="X27" t="s">
        <v>58</v>
      </c>
      <c r="Y27" t="s">
        <v>58</v>
      </c>
      <c r="Z27" t="s">
        <v>58</v>
      </c>
      <c r="AA27" t="s">
        <v>58</v>
      </c>
      <c r="AB27" t="s">
        <v>58</v>
      </c>
      <c r="AC27">
        <v>9254</v>
      </c>
      <c r="AD27" t="s">
        <v>58</v>
      </c>
      <c r="AE27" t="s">
        <v>58</v>
      </c>
      <c r="AF27" t="s">
        <v>58</v>
      </c>
      <c r="AG27" t="s">
        <v>58</v>
      </c>
      <c r="AH27" t="s">
        <v>58</v>
      </c>
      <c r="AI27" t="s">
        <v>58</v>
      </c>
      <c r="AJ27" t="s">
        <v>58</v>
      </c>
      <c r="AK27" t="s">
        <v>58</v>
      </c>
      <c r="AL27" t="s">
        <v>58</v>
      </c>
      <c r="AM27" t="s">
        <v>58</v>
      </c>
      <c r="AN27" t="s">
        <v>58</v>
      </c>
      <c r="AO27" t="s">
        <v>58</v>
      </c>
      <c r="AP27">
        <v>1631</v>
      </c>
      <c r="AQ27" t="s">
        <v>58</v>
      </c>
      <c r="AR27">
        <v>8</v>
      </c>
      <c r="AS27" t="s">
        <v>58</v>
      </c>
      <c r="AT27" t="s">
        <v>58</v>
      </c>
      <c r="AU27" t="s">
        <v>58</v>
      </c>
      <c r="AV27" t="s">
        <v>58</v>
      </c>
      <c r="AW27" t="s">
        <v>58</v>
      </c>
      <c r="AX27" t="s">
        <v>58</v>
      </c>
      <c r="AY27">
        <v>68.31</v>
      </c>
      <c r="AZ27">
        <v>48.62</v>
      </c>
      <c r="BA27">
        <v>15.9</v>
      </c>
      <c r="BB27">
        <v>0.9</v>
      </c>
      <c r="BC27" t="s">
        <v>58</v>
      </c>
      <c r="BD27">
        <v>3</v>
      </c>
    </row>
    <row r="28" spans="1:56" x14ac:dyDescent="0.25">
      <c r="A28" t="s">
        <v>55</v>
      </c>
      <c r="B28" t="s">
        <v>56</v>
      </c>
      <c r="C28">
        <v>310000427</v>
      </c>
      <c r="D28" s="79" t="s">
        <v>121</v>
      </c>
      <c r="E28" t="s">
        <v>120</v>
      </c>
      <c r="F28" s="76">
        <v>310781133</v>
      </c>
      <c r="G28" t="s">
        <v>61</v>
      </c>
      <c r="H28">
        <v>0</v>
      </c>
      <c r="I28" t="s">
        <v>58</v>
      </c>
      <c r="J28" t="s">
        <v>58</v>
      </c>
      <c r="K28">
        <v>0</v>
      </c>
      <c r="L28">
        <v>150</v>
      </c>
      <c r="M28" t="s">
        <v>58</v>
      </c>
      <c r="N28" t="s">
        <v>58</v>
      </c>
      <c r="O28" t="s">
        <v>58</v>
      </c>
      <c r="P28" t="s">
        <v>58</v>
      </c>
      <c r="Q28" t="s">
        <v>58</v>
      </c>
      <c r="R28">
        <v>54750</v>
      </c>
      <c r="S28">
        <v>15</v>
      </c>
      <c r="T28" t="s">
        <v>58</v>
      </c>
      <c r="U28" t="s">
        <v>58</v>
      </c>
      <c r="V28">
        <v>1671</v>
      </c>
      <c r="W28">
        <v>52882</v>
      </c>
      <c r="X28" t="s">
        <v>58</v>
      </c>
      <c r="Y28" t="s">
        <v>58</v>
      </c>
      <c r="Z28" t="s">
        <v>58</v>
      </c>
      <c r="AA28" t="s">
        <v>58</v>
      </c>
      <c r="AB28" t="s">
        <v>58</v>
      </c>
      <c r="AC28">
        <v>8003</v>
      </c>
      <c r="AD28" t="s">
        <v>58</v>
      </c>
      <c r="AE28" t="s">
        <v>58</v>
      </c>
      <c r="AF28" t="s">
        <v>58</v>
      </c>
      <c r="AG28" t="s">
        <v>58</v>
      </c>
      <c r="AH28" t="s">
        <v>58</v>
      </c>
      <c r="AI28" t="s">
        <v>58</v>
      </c>
      <c r="AJ28" t="s">
        <v>58</v>
      </c>
      <c r="AK28" t="s">
        <v>58</v>
      </c>
      <c r="AL28" t="s">
        <v>58</v>
      </c>
      <c r="AM28" t="s">
        <v>58</v>
      </c>
      <c r="AN28" t="s">
        <v>58</v>
      </c>
      <c r="AO28" t="s">
        <v>58</v>
      </c>
      <c r="AP28">
        <v>1333</v>
      </c>
      <c r="AQ28" t="s">
        <v>58</v>
      </c>
      <c r="AR28">
        <v>9</v>
      </c>
      <c r="AS28">
        <v>1.23</v>
      </c>
      <c r="AT28">
        <v>2</v>
      </c>
      <c r="AU28">
        <v>4.62</v>
      </c>
      <c r="AV28" t="s">
        <v>58</v>
      </c>
      <c r="AW28" t="s">
        <v>58</v>
      </c>
      <c r="AX28">
        <v>5</v>
      </c>
      <c r="AY28">
        <v>81.73</v>
      </c>
      <c r="AZ28">
        <v>51.55</v>
      </c>
      <c r="BA28">
        <v>2.64</v>
      </c>
      <c r="BB28">
        <v>2.25</v>
      </c>
      <c r="BC28">
        <v>4.17</v>
      </c>
      <c r="BD28">
        <v>1.56</v>
      </c>
    </row>
    <row r="29" spans="1:56" ht="30" x14ac:dyDescent="0.25">
      <c r="A29" t="s">
        <v>55</v>
      </c>
      <c r="B29" t="s">
        <v>56</v>
      </c>
      <c r="C29" t="s">
        <v>136</v>
      </c>
      <c r="D29" s="79" t="s">
        <v>137</v>
      </c>
      <c r="E29" t="s">
        <v>138</v>
      </c>
      <c r="F29" s="76">
        <v>310781141</v>
      </c>
      <c r="G29" t="s">
        <v>61</v>
      </c>
      <c r="H29">
        <v>0</v>
      </c>
      <c r="I29" t="s">
        <v>58</v>
      </c>
      <c r="J29" t="s">
        <v>58</v>
      </c>
      <c r="K29">
        <v>0</v>
      </c>
      <c r="L29">
        <v>188</v>
      </c>
      <c r="M29" t="s">
        <v>58</v>
      </c>
      <c r="N29" t="s">
        <v>58</v>
      </c>
      <c r="O29" t="s">
        <v>58</v>
      </c>
      <c r="P29" t="s">
        <v>58</v>
      </c>
      <c r="Q29" t="s">
        <v>58</v>
      </c>
      <c r="R29">
        <v>68620</v>
      </c>
      <c r="S29">
        <v>5</v>
      </c>
      <c r="T29" t="s">
        <v>58</v>
      </c>
      <c r="U29" t="s">
        <v>58</v>
      </c>
      <c r="V29">
        <v>1523</v>
      </c>
      <c r="W29">
        <v>51623</v>
      </c>
      <c r="X29" t="s">
        <v>58</v>
      </c>
      <c r="Y29" t="s">
        <v>58</v>
      </c>
      <c r="Z29" t="s">
        <v>58</v>
      </c>
      <c r="AA29" t="s">
        <v>58</v>
      </c>
      <c r="AB29" t="s">
        <v>58</v>
      </c>
      <c r="AC29">
        <v>3353</v>
      </c>
      <c r="AD29" t="s">
        <v>58</v>
      </c>
      <c r="AE29" t="s">
        <v>58</v>
      </c>
      <c r="AF29" t="s">
        <v>58</v>
      </c>
      <c r="AG29" t="s">
        <v>58</v>
      </c>
      <c r="AH29" t="s">
        <v>58</v>
      </c>
      <c r="AI29" t="s">
        <v>58</v>
      </c>
      <c r="AJ29" t="s">
        <v>58</v>
      </c>
      <c r="AK29" t="s">
        <v>58</v>
      </c>
      <c r="AL29" t="s">
        <v>58</v>
      </c>
      <c r="AM29" t="s">
        <v>58</v>
      </c>
      <c r="AN29" t="s">
        <v>58</v>
      </c>
      <c r="AO29" t="s">
        <v>58</v>
      </c>
      <c r="AP29">
        <v>1381</v>
      </c>
      <c r="AQ29" t="s">
        <v>58</v>
      </c>
      <c r="AR29">
        <v>6</v>
      </c>
      <c r="AS29">
        <v>1.64</v>
      </c>
      <c r="AT29" t="s">
        <v>58</v>
      </c>
      <c r="AU29">
        <v>2.21</v>
      </c>
      <c r="AV29" t="s">
        <v>58</v>
      </c>
      <c r="AW29" t="s">
        <v>58</v>
      </c>
      <c r="AX29" t="s">
        <v>58</v>
      </c>
      <c r="AY29">
        <v>79.09</v>
      </c>
      <c r="AZ29">
        <v>43.58</v>
      </c>
      <c r="BA29">
        <v>9.67</v>
      </c>
      <c r="BB29">
        <v>3.54</v>
      </c>
      <c r="BC29">
        <v>3.37</v>
      </c>
      <c r="BD29">
        <v>1.25</v>
      </c>
    </row>
    <row r="30" spans="1:56" x14ac:dyDescent="0.25">
      <c r="A30" s="93" t="s">
        <v>55</v>
      </c>
      <c r="B30" s="93" t="s">
        <v>56</v>
      </c>
      <c r="C30" s="96">
        <v>310781158</v>
      </c>
      <c r="D30" s="88" t="s">
        <v>277</v>
      </c>
      <c r="E30" s="96">
        <v>310781158</v>
      </c>
      <c r="F30" s="76">
        <v>310781158</v>
      </c>
      <c r="G30" t="s">
        <v>61</v>
      </c>
      <c r="L30">
        <v>129</v>
      </c>
      <c r="R30">
        <v>21900</v>
      </c>
      <c r="S30" s="106">
        <v>10</v>
      </c>
      <c r="AP30">
        <v>1022</v>
      </c>
    </row>
    <row r="31" spans="1:56" ht="30" x14ac:dyDescent="0.25">
      <c r="A31" t="s">
        <v>55</v>
      </c>
      <c r="B31" t="s">
        <v>56</v>
      </c>
      <c r="C31" t="s">
        <v>144</v>
      </c>
      <c r="D31" s="79" t="s">
        <v>145</v>
      </c>
      <c r="E31" t="s">
        <v>146</v>
      </c>
      <c r="F31" s="76">
        <v>310781406</v>
      </c>
      <c r="G31" t="s">
        <v>61</v>
      </c>
      <c r="H31">
        <v>1</v>
      </c>
      <c r="I31" t="s">
        <v>58</v>
      </c>
      <c r="J31" t="s">
        <v>58</v>
      </c>
      <c r="K31">
        <v>0</v>
      </c>
      <c r="L31">
        <v>99</v>
      </c>
      <c r="M31" t="s">
        <v>58</v>
      </c>
      <c r="N31" t="s">
        <v>58</v>
      </c>
      <c r="O31" t="s">
        <v>58</v>
      </c>
      <c r="P31">
        <v>6</v>
      </c>
      <c r="Q31" t="s">
        <v>58</v>
      </c>
      <c r="R31">
        <v>36117</v>
      </c>
      <c r="S31">
        <v>85</v>
      </c>
      <c r="T31" t="s">
        <v>58</v>
      </c>
      <c r="U31" t="s">
        <v>58</v>
      </c>
      <c r="V31">
        <v>1213</v>
      </c>
      <c r="W31">
        <v>33116</v>
      </c>
      <c r="X31" t="s">
        <v>58</v>
      </c>
      <c r="Y31" t="s">
        <v>58</v>
      </c>
      <c r="Z31" t="s">
        <v>58</v>
      </c>
      <c r="AA31">
        <v>1922</v>
      </c>
      <c r="AB31" t="s">
        <v>58</v>
      </c>
      <c r="AC31">
        <v>10514</v>
      </c>
      <c r="AD31" t="s">
        <v>58</v>
      </c>
      <c r="AE31" t="s">
        <v>58</v>
      </c>
      <c r="AF31">
        <v>6</v>
      </c>
      <c r="AG31">
        <v>8</v>
      </c>
      <c r="AH31">
        <v>1</v>
      </c>
      <c r="AI31">
        <v>26659</v>
      </c>
      <c r="AJ31">
        <v>28853</v>
      </c>
      <c r="AK31">
        <v>4005</v>
      </c>
      <c r="AL31">
        <v>1048</v>
      </c>
      <c r="AM31">
        <v>20</v>
      </c>
      <c r="AN31">
        <v>10809</v>
      </c>
      <c r="AO31">
        <v>56</v>
      </c>
      <c r="AP31">
        <v>11723</v>
      </c>
      <c r="AQ31">
        <v>10220</v>
      </c>
      <c r="AR31" t="s">
        <v>58</v>
      </c>
      <c r="AS31">
        <v>58.91</v>
      </c>
      <c r="AT31" t="s">
        <v>58</v>
      </c>
      <c r="AU31" t="s">
        <v>58</v>
      </c>
      <c r="AV31" t="s">
        <v>58</v>
      </c>
      <c r="AW31" t="s">
        <v>58</v>
      </c>
      <c r="AX31" t="s">
        <v>58</v>
      </c>
      <c r="AY31">
        <v>286.20999999999998</v>
      </c>
      <c r="AZ31">
        <v>131.55000000000001</v>
      </c>
      <c r="BA31">
        <v>55.96</v>
      </c>
      <c r="BB31">
        <v>24.66</v>
      </c>
      <c r="BC31">
        <v>18.760000000000002</v>
      </c>
      <c r="BD31">
        <v>19</v>
      </c>
    </row>
    <row r="32" spans="1:56" ht="30" x14ac:dyDescent="0.25">
      <c r="A32" t="s">
        <v>55</v>
      </c>
      <c r="B32" t="s">
        <v>56</v>
      </c>
      <c r="C32" t="s">
        <v>139</v>
      </c>
      <c r="D32" s="79" t="s">
        <v>140</v>
      </c>
      <c r="E32" t="s">
        <v>141</v>
      </c>
      <c r="F32" s="76">
        <v>310781430</v>
      </c>
      <c r="G32" t="s">
        <v>61</v>
      </c>
      <c r="H32">
        <v>0</v>
      </c>
      <c r="I32" t="s">
        <v>58</v>
      </c>
      <c r="J32" t="s">
        <v>58</v>
      </c>
      <c r="K32">
        <v>0</v>
      </c>
      <c r="L32" t="s">
        <v>58</v>
      </c>
      <c r="M32" t="s">
        <v>58</v>
      </c>
      <c r="N32" t="s">
        <v>58</v>
      </c>
      <c r="O32" t="s">
        <v>58</v>
      </c>
      <c r="P32" t="s">
        <v>58</v>
      </c>
      <c r="Q32" t="s">
        <v>58</v>
      </c>
      <c r="R32" t="s">
        <v>58</v>
      </c>
      <c r="S32">
        <v>55</v>
      </c>
      <c r="T32">
        <v>0</v>
      </c>
      <c r="U32" t="s">
        <v>58</v>
      </c>
      <c r="V32" t="s">
        <v>58</v>
      </c>
      <c r="W32" t="s">
        <v>58</v>
      </c>
      <c r="X32" t="s">
        <v>58</v>
      </c>
      <c r="Y32" t="s">
        <v>58</v>
      </c>
      <c r="Z32" t="s">
        <v>58</v>
      </c>
      <c r="AA32" t="s">
        <v>58</v>
      </c>
      <c r="AB32" t="s">
        <v>58</v>
      </c>
      <c r="AC32">
        <v>12236</v>
      </c>
      <c r="AD32" t="s">
        <v>58</v>
      </c>
      <c r="AE32" t="s">
        <v>58</v>
      </c>
      <c r="AF32" t="s">
        <v>58</v>
      </c>
      <c r="AG32" t="s">
        <v>58</v>
      </c>
      <c r="AH32" t="s">
        <v>58</v>
      </c>
      <c r="AI32" t="s">
        <v>58</v>
      </c>
      <c r="AJ32" t="s">
        <v>58</v>
      </c>
      <c r="AK32" t="s">
        <v>58</v>
      </c>
      <c r="AL32" t="s">
        <v>58</v>
      </c>
      <c r="AM32" t="s">
        <v>58</v>
      </c>
      <c r="AN32" t="s">
        <v>58</v>
      </c>
      <c r="AO32" t="s">
        <v>58</v>
      </c>
      <c r="AP32">
        <v>86</v>
      </c>
      <c r="AQ32">
        <v>86</v>
      </c>
      <c r="AR32" t="s">
        <v>58</v>
      </c>
      <c r="AS32">
        <v>0.6</v>
      </c>
      <c r="AT32" t="s">
        <v>58</v>
      </c>
      <c r="AU32">
        <v>0</v>
      </c>
      <c r="AV32" t="s">
        <v>58</v>
      </c>
      <c r="AW32" t="s">
        <v>58</v>
      </c>
      <c r="AX32">
        <v>0</v>
      </c>
      <c r="AY32">
        <v>10</v>
      </c>
      <c r="AZ32">
        <v>7</v>
      </c>
      <c r="BA32">
        <v>0</v>
      </c>
      <c r="BB32">
        <v>1</v>
      </c>
      <c r="BC32">
        <v>1</v>
      </c>
      <c r="BD32">
        <v>1</v>
      </c>
    </row>
    <row r="33" spans="1:56" ht="30" x14ac:dyDescent="0.25">
      <c r="A33" t="s">
        <v>55</v>
      </c>
      <c r="B33" t="s">
        <v>56</v>
      </c>
      <c r="C33" t="s">
        <v>147</v>
      </c>
      <c r="D33" s="79" t="s">
        <v>148</v>
      </c>
      <c r="E33" t="s">
        <v>62</v>
      </c>
      <c r="F33" s="76">
        <v>310783097</v>
      </c>
      <c r="G33" t="s">
        <v>61</v>
      </c>
      <c r="H33">
        <v>0</v>
      </c>
      <c r="I33" t="s">
        <v>58</v>
      </c>
      <c r="J33" t="s">
        <v>58</v>
      </c>
      <c r="K33">
        <v>0</v>
      </c>
      <c r="L33" t="s">
        <v>58</v>
      </c>
      <c r="M33" t="s">
        <v>58</v>
      </c>
      <c r="N33" t="s">
        <v>58</v>
      </c>
      <c r="O33" t="s">
        <v>58</v>
      </c>
      <c r="P33" t="s">
        <v>58</v>
      </c>
      <c r="Q33" t="s">
        <v>58</v>
      </c>
      <c r="R33" t="s">
        <v>58</v>
      </c>
      <c r="S33">
        <v>42</v>
      </c>
      <c r="T33" t="s">
        <v>58</v>
      </c>
      <c r="U33" t="s">
        <v>58</v>
      </c>
      <c r="V33" t="s">
        <v>58</v>
      </c>
      <c r="W33" t="s">
        <v>58</v>
      </c>
      <c r="X33" t="s">
        <v>58</v>
      </c>
      <c r="Y33" t="s">
        <v>58</v>
      </c>
      <c r="Z33" t="s">
        <v>58</v>
      </c>
      <c r="AA33" t="s">
        <v>58</v>
      </c>
      <c r="AB33" t="s">
        <v>58</v>
      </c>
      <c r="AC33">
        <v>12422</v>
      </c>
      <c r="AD33" t="s">
        <v>58</v>
      </c>
      <c r="AE33" t="s">
        <v>58</v>
      </c>
      <c r="AF33" t="s">
        <v>58</v>
      </c>
      <c r="AG33" t="s">
        <v>58</v>
      </c>
      <c r="AH33" t="s">
        <v>58</v>
      </c>
      <c r="AI33" t="s">
        <v>58</v>
      </c>
      <c r="AJ33" t="s">
        <v>58</v>
      </c>
      <c r="AK33" t="s">
        <v>58</v>
      </c>
      <c r="AL33" t="s">
        <v>58</v>
      </c>
      <c r="AM33" t="s">
        <v>58</v>
      </c>
      <c r="AN33" t="s">
        <v>58</v>
      </c>
      <c r="AO33" t="s">
        <v>58</v>
      </c>
      <c r="AP33">
        <v>210</v>
      </c>
      <c r="AQ33" t="s">
        <v>58</v>
      </c>
      <c r="AR33" t="s">
        <v>58</v>
      </c>
      <c r="AS33">
        <v>3.5</v>
      </c>
      <c r="AT33" t="s">
        <v>58</v>
      </c>
      <c r="AU33" t="s">
        <v>58</v>
      </c>
      <c r="AV33" t="s">
        <v>58</v>
      </c>
      <c r="AW33" t="s">
        <v>58</v>
      </c>
      <c r="AX33" t="s">
        <v>58</v>
      </c>
      <c r="AY33">
        <v>16.2</v>
      </c>
      <c r="AZ33">
        <v>11</v>
      </c>
      <c r="BA33">
        <v>0</v>
      </c>
      <c r="BB33">
        <v>2</v>
      </c>
      <c r="BC33">
        <v>1</v>
      </c>
      <c r="BD33">
        <v>2.2000000000000002</v>
      </c>
    </row>
    <row r="34" spans="1:56" ht="30" x14ac:dyDescent="0.25">
      <c r="A34" t="s">
        <v>55</v>
      </c>
      <c r="B34" t="s">
        <v>56</v>
      </c>
      <c r="C34" t="s">
        <v>149</v>
      </c>
      <c r="D34" s="79" t="s">
        <v>150</v>
      </c>
      <c r="E34" t="s">
        <v>151</v>
      </c>
      <c r="F34" s="76">
        <v>310795463</v>
      </c>
      <c r="G34" t="s">
        <v>61</v>
      </c>
      <c r="H34">
        <v>1</v>
      </c>
      <c r="I34" t="s">
        <v>58</v>
      </c>
      <c r="J34">
        <v>0</v>
      </c>
      <c r="K34">
        <v>0</v>
      </c>
      <c r="L34" t="s">
        <v>58</v>
      </c>
      <c r="M34" t="s">
        <v>58</v>
      </c>
      <c r="N34" t="s">
        <v>58</v>
      </c>
      <c r="O34">
        <v>19</v>
      </c>
      <c r="P34" t="s">
        <v>58</v>
      </c>
      <c r="Q34" t="s">
        <v>58</v>
      </c>
      <c r="R34" t="s">
        <v>58</v>
      </c>
      <c r="S34">
        <v>31</v>
      </c>
      <c r="T34" t="s">
        <v>58</v>
      </c>
      <c r="U34" t="s">
        <v>58</v>
      </c>
      <c r="V34" t="s">
        <v>58</v>
      </c>
      <c r="W34" t="s">
        <v>58</v>
      </c>
      <c r="X34" t="s">
        <v>58</v>
      </c>
      <c r="Y34" t="s">
        <v>58</v>
      </c>
      <c r="Z34">
        <v>4539</v>
      </c>
      <c r="AA34" t="s">
        <v>58</v>
      </c>
      <c r="AB34" t="s">
        <v>58</v>
      </c>
      <c r="AC34">
        <v>4378</v>
      </c>
      <c r="AD34" t="s">
        <v>58</v>
      </c>
      <c r="AE34" t="s">
        <v>58</v>
      </c>
      <c r="AF34" t="s">
        <v>58</v>
      </c>
      <c r="AG34" t="s">
        <v>58</v>
      </c>
      <c r="AH34" t="s">
        <v>58</v>
      </c>
      <c r="AI34" t="s">
        <v>58</v>
      </c>
      <c r="AJ34" t="s">
        <v>58</v>
      </c>
      <c r="AK34" t="s">
        <v>58</v>
      </c>
      <c r="AL34" t="s">
        <v>58</v>
      </c>
      <c r="AM34" t="s">
        <v>58</v>
      </c>
      <c r="AN34" t="s">
        <v>58</v>
      </c>
      <c r="AO34" t="s">
        <v>58</v>
      </c>
      <c r="AP34">
        <v>71</v>
      </c>
      <c r="AQ34">
        <v>0</v>
      </c>
      <c r="AR34">
        <v>0</v>
      </c>
      <c r="AS34">
        <v>0.24</v>
      </c>
      <c r="AT34">
        <v>0</v>
      </c>
      <c r="AU34">
        <v>0</v>
      </c>
      <c r="AV34" t="s">
        <v>58</v>
      </c>
      <c r="AW34" t="s">
        <v>58</v>
      </c>
      <c r="AX34">
        <v>0</v>
      </c>
      <c r="AY34">
        <v>14.29</v>
      </c>
      <c r="AZ34">
        <v>5.27</v>
      </c>
      <c r="BA34">
        <v>2.83</v>
      </c>
      <c r="BB34">
        <v>0.2</v>
      </c>
      <c r="BC34">
        <v>0.2</v>
      </c>
      <c r="BD34">
        <v>5.79</v>
      </c>
    </row>
    <row r="35" spans="1:56" x14ac:dyDescent="0.25">
      <c r="A35" t="s">
        <v>55</v>
      </c>
      <c r="B35" t="s">
        <v>56</v>
      </c>
      <c r="C35" t="s">
        <v>155</v>
      </c>
      <c r="D35" s="79" t="s">
        <v>156</v>
      </c>
      <c r="E35" t="s">
        <v>157</v>
      </c>
      <c r="F35" s="76">
        <v>320780109</v>
      </c>
      <c r="G35" t="s">
        <v>61</v>
      </c>
      <c r="H35">
        <v>0</v>
      </c>
      <c r="I35" t="s">
        <v>58</v>
      </c>
      <c r="J35" t="s">
        <v>58</v>
      </c>
      <c r="K35">
        <v>0</v>
      </c>
      <c r="L35">
        <v>68</v>
      </c>
      <c r="M35" t="s">
        <v>58</v>
      </c>
      <c r="N35" t="s">
        <v>58</v>
      </c>
      <c r="O35" t="s">
        <v>58</v>
      </c>
      <c r="P35" t="s">
        <v>58</v>
      </c>
      <c r="Q35" t="s">
        <v>58</v>
      </c>
      <c r="R35">
        <v>24820</v>
      </c>
      <c r="S35">
        <v>20</v>
      </c>
      <c r="T35" t="s">
        <v>58</v>
      </c>
      <c r="U35" t="s">
        <v>58</v>
      </c>
      <c r="V35">
        <v>397</v>
      </c>
      <c r="W35">
        <v>20376</v>
      </c>
      <c r="X35" t="s">
        <v>58</v>
      </c>
      <c r="Y35" t="s">
        <v>58</v>
      </c>
      <c r="Z35" t="s">
        <v>58</v>
      </c>
      <c r="AA35" t="s">
        <v>58</v>
      </c>
      <c r="AB35" t="s">
        <v>58</v>
      </c>
      <c r="AC35">
        <v>7127</v>
      </c>
      <c r="AD35" t="s">
        <v>58</v>
      </c>
      <c r="AE35" t="s">
        <v>58</v>
      </c>
      <c r="AF35" t="s">
        <v>58</v>
      </c>
      <c r="AG35" t="s">
        <v>58</v>
      </c>
      <c r="AH35" t="s">
        <v>58</v>
      </c>
      <c r="AI35" t="s">
        <v>58</v>
      </c>
      <c r="AJ35" t="s">
        <v>58</v>
      </c>
      <c r="AK35" t="s">
        <v>58</v>
      </c>
      <c r="AL35" t="s">
        <v>58</v>
      </c>
      <c r="AM35" t="s">
        <v>58</v>
      </c>
      <c r="AN35" t="s">
        <v>58</v>
      </c>
      <c r="AO35" t="s">
        <v>58</v>
      </c>
      <c r="AP35">
        <v>462</v>
      </c>
      <c r="AQ35" t="s">
        <v>58</v>
      </c>
      <c r="AR35">
        <v>3</v>
      </c>
      <c r="AS35">
        <v>0.23</v>
      </c>
      <c r="AT35">
        <v>3</v>
      </c>
      <c r="AU35">
        <v>0</v>
      </c>
      <c r="AV35" t="s">
        <v>58</v>
      </c>
      <c r="AW35" t="s">
        <v>58</v>
      </c>
      <c r="AX35" t="s">
        <v>58</v>
      </c>
      <c r="AY35" t="s">
        <v>58</v>
      </c>
      <c r="AZ35">
        <v>22.1</v>
      </c>
      <c r="BA35">
        <v>4.5999999999999996</v>
      </c>
      <c r="BB35">
        <v>2.5</v>
      </c>
      <c r="BC35">
        <v>0.5</v>
      </c>
      <c r="BD35">
        <v>1</v>
      </c>
    </row>
    <row r="36" spans="1:56" x14ac:dyDescent="0.25">
      <c r="A36" t="s">
        <v>55</v>
      </c>
      <c r="B36" t="s">
        <v>56</v>
      </c>
      <c r="C36" t="s">
        <v>152</v>
      </c>
      <c r="D36" s="79" t="s">
        <v>153</v>
      </c>
      <c r="E36" t="s">
        <v>154</v>
      </c>
      <c r="F36" s="76">
        <v>320780125</v>
      </c>
      <c r="G36" t="s">
        <v>61</v>
      </c>
      <c r="H36">
        <v>1</v>
      </c>
      <c r="I36" t="s">
        <v>58</v>
      </c>
      <c r="J36">
        <v>0</v>
      </c>
      <c r="K36">
        <v>0</v>
      </c>
      <c r="L36">
        <v>122</v>
      </c>
      <c r="M36">
        <v>0</v>
      </c>
      <c r="N36">
        <v>0</v>
      </c>
      <c r="O36">
        <v>0</v>
      </c>
      <c r="P36">
        <v>0</v>
      </c>
      <c r="Q36">
        <v>0</v>
      </c>
      <c r="R36">
        <v>44530</v>
      </c>
      <c r="S36">
        <v>44</v>
      </c>
      <c r="T36">
        <v>8</v>
      </c>
      <c r="U36">
        <v>1</v>
      </c>
      <c r="V36">
        <v>1193</v>
      </c>
      <c r="W36">
        <v>39076</v>
      </c>
      <c r="X36">
        <v>0</v>
      </c>
      <c r="Y36">
        <v>0</v>
      </c>
      <c r="Z36">
        <v>0</v>
      </c>
      <c r="AA36">
        <v>0</v>
      </c>
      <c r="AB36">
        <v>0</v>
      </c>
      <c r="AC36">
        <v>5380</v>
      </c>
      <c r="AD36">
        <v>208</v>
      </c>
      <c r="AE36">
        <v>1198</v>
      </c>
      <c r="AF36">
        <v>13</v>
      </c>
      <c r="AG36">
        <v>7</v>
      </c>
      <c r="AH36">
        <v>8</v>
      </c>
      <c r="AI36">
        <v>33172</v>
      </c>
      <c r="AJ36">
        <v>6910</v>
      </c>
      <c r="AK36">
        <v>4667</v>
      </c>
      <c r="AL36">
        <v>10866</v>
      </c>
      <c r="AM36">
        <v>1011</v>
      </c>
      <c r="AN36">
        <v>1624</v>
      </c>
      <c r="AO36">
        <v>29</v>
      </c>
      <c r="AP36">
        <v>5192</v>
      </c>
      <c r="AQ36">
        <v>3868</v>
      </c>
      <c r="AR36" t="s">
        <v>58</v>
      </c>
      <c r="AS36">
        <v>11.25</v>
      </c>
      <c r="AT36" t="s">
        <v>58</v>
      </c>
      <c r="AU36">
        <v>1</v>
      </c>
      <c r="AV36" t="s">
        <v>58</v>
      </c>
      <c r="AW36" t="s">
        <v>58</v>
      </c>
      <c r="AX36" t="s">
        <v>58</v>
      </c>
      <c r="AY36">
        <v>323.62</v>
      </c>
      <c r="AZ36">
        <v>159.33000000000001</v>
      </c>
      <c r="BA36">
        <v>66.67</v>
      </c>
      <c r="BB36">
        <v>17.93</v>
      </c>
      <c r="BC36">
        <v>6.78</v>
      </c>
      <c r="BD36">
        <v>26.79</v>
      </c>
    </row>
    <row r="37" spans="1:56" x14ac:dyDescent="0.25">
      <c r="A37" t="s">
        <v>55</v>
      </c>
      <c r="B37" t="s">
        <v>56</v>
      </c>
      <c r="C37" t="s">
        <v>164</v>
      </c>
      <c r="D37" s="79" t="s">
        <v>165</v>
      </c>
      <c r="E37" t="s">
        <v>166</v>
      </c>
      <c r="F37" s="76">
        <v>340010149</v>
      </c>
      <c r="G37" t="s">
        <v>61</v>
      </c>
      <c r="H37">
        <v>0</v>
      </c>
      <c r="I37" t="s">
        <v>58</v>
      </c>
      <c r="J37" t="s">
        <v>58</v>
      </c>
      <c r="K37">
        <v>0</v>
      </c>
      <c r="L37">
        <v>70</v>
      </c>
      <c r="M37" t="s">
        <v>58</v>
      </c>
      <c r="N37" t="s">
        <v>58</v>
      </c>
      <c r="O37" t="s">
        <v>58</v>
      </c>
      <c r="P37" t="s">
        <v>58</v>
      </c>
      <c r="Q37" t="s">
        <v>58</v>
      </c>
      <c r="R37">
        <v>25550</v>
      </c>
      <c r="S37">
        <v>12</v>
      </c>
      <c r="T37" t="s">
        <v>58</v>
      </c>
      <c r="U37" t="s">
        <v>58</v>
      </c>
      <c r="V37">
        <v>228</v>
      </c>
      <c r="W37">
        <v>23846</v>
      </c>
      <c r="X37" t="s">
        <v>58</v>
      </c>
      <c r="Y37" t="s">
        <v>58</v>
      </c>
      <c r="Z37" t="s">
        <v>58</v>
      </c>
      <c r="AA37" t="s">
        <v>58</v>
      </c>
      <c r="AB37" t="s">
        <v>58</v>
      </c>
      <c r="AC37">
        <v>5259</v>
      </c>
      <c r="AD37" t="s">
        <v>58</v>
      </c>
      <c r="AE37" t="s">
        <v>58</v>
      </c>
      <c r="AF37" t="s">
        <v>58</v>
      </c>
      <c r="AG37" t="s">
        <v>58</v>
      </c>
      <c r="AH37" t="s">
        <v>58</v>
      </c>
      <c r="AI37" t="s">
        <v>58</v>
      </c>
      <c r="AJ37" t="s">
        <v>58</v>
      </c>
      <c r="AK37" t="s">
        <v>58</v>
      </c>
      <c r="AL37" t="s">
        <v>58</v>
      </c>
      <c r="AM37" t="s">
        <v>58</v>
      </c>
      <c r="AN37" t="s">
        <v>58</v>
      </c>
      <c r="AO37" t="s">
        <v>58</v>
      </c>
      <c r="AP37">
        <v>341</v>
      </c>
      <c r="AQ37" t="s">
        <v>58</v>
      </c>
      <c r="AR37" t="s">
        <v>58</v>
      </c>
      <c r="AS37">
        <v>3.6</v>
      </c>
      <c r="AT37" t="s">
        <v>58</v>
      </c>
      <c r="AU37">
        <v>0.8</v>
      </c>
      <c r="AV37" t="s">
        <v>58</v>
      </c>
      <c r="AW37" t="s">
        <v>58</v>
      </c>
      <c r="AX37" t="s">
        <v>58</v>
      </c>
      <c r="AY37">
        <v>32.51</v>
      </c>
      <c r="AZ37">
        <v>14.3</v>
      </c>
      <c r="BA37">
        <v>6.3</v>
      </c>
      <c r="BB37">
        <v>3</v>
      </c>
      <c r="BC37">
        <v>5.91</v>
      </c>
      <c r="BD37">
        <v>3</v>
      </c>
    </row>
    <row r="38" spans="1:56" s="108" customFormat="1" x14ac:dyDescent="0.25">
      <c r="A38" s="108" t="s">
        <v>55</v>
      </c>
      <c r="B38" s="108" t="s">
        <v>56</v>
      </c>
      <c r="C38" s="108" t="s">
        <v>161</v>
      </c>
      <c r="D38" s="109" t="s">
        <v>162</v>
      </c>
      <c r="E38" s="108" t="s">
        <v>163</v>
      </c>
      <c r="F38" s="110">
        <v>340011295</v>
      </c>
      <c r="G38" s="108" t="s">
        <v>61</v>
      </c>
      <c r="H38" s="108">
        <v>1</v>
      </c>
      <c r="I38" s="108" t="s">
        <v>58</v>
      </c>
      <c r="J38" s="108" t="s">
        <v>58</v>
      </c>
      <c r="K38" s="108">
        <v>0</v>
      </c>
      <c r="L38" s="108">
        <v>14</v>
      </c>
      <c r="M38" s="108" t="s">
        <v>58</v>
      </c>
      <c r="N38" s="108" t="s">
        <v>58</v>
      </c>
      <c r="O38" s="108" t="s">
        <v>58</v>
      </c>
      <c r="P38" s="108" t="s">
        <v>58</v>
      </c>
      <c r="Q38" s="108">
        <v>12</v>
      </c>
      <c r="R38" s="108">
        <v>8893</v>
      </c>
      <c r="S38" s="108">
        <v>31</v>
      </c>
      <c r="T38" s="108">
        <v>0</v>
      </c>
      <c r="U38" s="108">
        <v>1</v>
      </c>
      <c r="V38" s="108">
        <v>432</v>
      </c>
      <c r="W38" s="108">
        <v>4915</v>
      </c>
      <c r="X38" s="108" t="s">
        <v>58</v>
      </c>
      <c r="Y38" s="108" t="s">
        <v>58</v>
      </c>
      <c r="Z38" s="108" t="s">
        <v>58</v>
      </c>
      <c r="AA38" s="108" t="s">
        <v>58</v>
      </c>
      <c r="AB38" s="108">
        <v>2731</v>
      </c>
      <c r="AC38" s="108">
        <v>4665</v>
      </c>
      <c r="AD38" s="108" t="s">
        <v>58</v>
      </c>
      <c r="AE38" s="108">
        <v>1780</v>
      </c>
      <c r="AF38" s="108">
        <v>4</v>
      </c>
      <c r="AG38" s="108">
        <v>3</v>
      </c>
      <c r="AH38" s="108">
        <v>2</v>
      </c>
      <c r="AI38" s="108">
        <v>15775</v>
      </c>
      <c r="AJ38" s="108">
        <v>6131</v>
      </c>
      <c r="AK38" s="108">
        <v>2189</v>
      </c>
      <c r="AL38" s="108">
        <v>45</v>
      </c>
      <c r="AM38" s="108">
        <v>732</v>
      </c>
      <c r="AN38" s="108">
        <v>8331</v>
      </c>
      <c r="AO38" s="108">
        <v>976</v>
      </c>
      <c r="AP38" s="108">
        <v>3539</v>
      </c>
      <c r="AQ38" s="108">
        <v>3007</v>
      </c>
      <c r="AR38" s="108">
        <v>0</v>
      </c>
    </row>
    <row r="39" spans="1:56" s="108" customFormat="1" x14ac:dyDescent="0.25">
      <c r="A39" s="108" t="s">
        <v>55</v>
      </c>
      <c r="B39" s="108" t="s">
        <v>56</v>
      </c>
      <c r="C39" s="108" t="s">
        <v>158</v>
      </c>
      <c r="D39" s="108" t="s">
        <v>159</v>
      </c>
      <c r="E39" s="108" t="s">
        <v>160</v>
      </c>
      <c r="F39" s="110">
        <v>340780055</v>
      </c>
      <c r="G39" s="108" t="s">
        <v>61</v>
      </c>
      <c r="H39" s="108">
        <v>1</v>
      </c>
      <c r="I39" s="108" t="s">
        <v>58</v>
      </c>
      <c r="J39" s="108">
        <v>1</v>
      </c>
      <c r="K39" s="108">
        <v>1</v>
      </c>
      <c r="L39" s="108">
        <v>109</v>
      </c>
      <c r="M39" s="108">
        <v>7</v>
      </c>
      <c r="N39" s="108" t="s">
        <v>58</v>
      </c>
      <c r="O39" s="108" t="s">
        <v>58</v>
      </c>
      <c r="P39" s="108">
        <v>10</v>
      </c>
      <c r="Q39" s="108">
        <v>12</v>
      </c>
      <c r="R39" s="108">
        <v>43885</v>
      </c>
      <c r="S39" s="108">
        <v>56</v>
      </c>
      <c r="T39" s="108">
        <v>1</v>
      </c>
      <c r="U39" s="108" t="s">
        <v>58</v>
      </c>
      <c r="V39" s="108">
        <v>966</v>
      </c>
      <c r="W39" s="108">
        <v>36884</v>
      </c>
      <c r="X39" s="108">
        <v>948</v>
      </c>
      <c r="Y39" s="108" t="s">
        <v>58</v>
      </c>
      <c r="Z39" s="108" t="s">
        <v>58</v>
      </c>
      <c r="AA39" s="108">
        <v>3063</v>
      </c>
      <c r="AB39" s="108">
        <v>2731</v>
      </c>
      <c r="AC39" s="108">
        <v>3024</v>
      </c>
      <c r="AD39" s="108">
        <v>11</v>
      </c>
      <c r="AE39" s="108" t="s">
        <v>58</v>
      </c>
      <c r="AF39" s="108">
        <v>9</v>
      </c>
      <c r="AG39" s="108">
        <v>4</v>
      </c>
      <c r="AH39" s="108" t="s">
        <v>58</v>
      </c>
      <c r="AI39" s="108">
        <v>38499</v>
      </c>
      <c r="AJ39" s="108">
        <v>1669</v>
      </c>
      <c r="AK39" s="108" t="s">
        <v>58</v>
      </c>
      <c r="AL39" s="108">
        <v>10770</v>
      </c>
      <c r="AM39" s="108">
        <v>71</v>
      </c>
      <c r="AN39" s="108">
        <v>7484</v>
      </c>
      <c r="AO39" s="108">
        <v>4</v>
      </c>
      <c r="AP39" s="108">
        <v>10002</v>
      </c>
      <c r="AQ39" s="108">
        <v>8598</v>
      </c>
      <c r="AR39" s="108" t="s">
        <v>58</v>
      </c>
    </row>
    <row r="40" spans="1:56" x14ac:dyDescent="0.25">
      <c r="A40" t="s">
        <v>55</v>
      </c>
      <c r="B40" t="s">
        <v>56</v>
      </c>
      <c r="C40" t="s">
        <v>169</v>
      </c>
      <c r="D40" s="79" t="s">
        <v>170</v>
      </c>
      <c r="E40" t="s">
        <v>171</v>
      </c>
      <c r="F40" s="76">
        <v>340780121</v>
      </c>
      <c r="G40" t="s">
        <v>61</v>
      </c>
      <c r="H40">
        <v>0</v>
      </c>
      <c r="I40" t="s">
        <v>58</v>
      </c>
      <c r="J40" t="s">
        <v>58</v>
      </c>
      <c r="K40">
        <v>0</v>
      </c>
      <c r="L40">
        <v>95</v>
      </c>
      <c r="M40" t="s">
        <v>58</v>
      </c>
      <c r="N40" t="s">
        <v>58</v>
      </c>
      <c r="O40" t="s">
        <v>58</v>
      </c>
      <c r="P40" t="s">
        <v>58</v>
      </c>
      <c r="Q40" t="s">
        <v>58</v>
      </c>
      <c r="R40">
        <v>40190</v>
      </c>
      <c r="S40">
        <v>15</v>
      </c>
      <c r="T40" t="s">
        <v>58</v>
      </c>
      <c r="U40" t="s">
        <v>58</v>
      </c>
      <c r="V40">
        <v>796</v>
      </c>
      <c r="W40">
        <v>40190</v>
      </c>
      <c r="X40" t="s">
        <v>58</v>
      </c>
      <c r="Y40" t="s">
        <v>58</v>
      </c>
      <c r="Z40" t="s">
        <v>58</v>
      </c>
      <c r="AA40" t="s">
        <v>58</v>
      </c>
      <c r="AB40" t="s">
        <v>58</v>
      </c>
      <c r="AC40">
        <v>6616</v>
      </c>
      <c r="AD40" t="s">
        <v>58</v>
      </c>
      <c r="AE40" t="s">
        <v>58</v>
      </c>
      <c r="AF40" t="s">
        <v>58</v>
      </c>
      <c r="AG40" t="s">
        <v>58</v>
      </c>
      <c r="AH40" t="s">
        <v>58</v>
      </c>
      <c r="AI40" t="s">
        <v>58</v>
      </c>
      <c r="AJ40" t="s">
        <v>58</v>
      </c>
      <c r="AK40" t="s">
        <v>58</v>
      </c>
      <c r="AL40" t="s">
        <v>58</v>
      </c>
      <c r="AM40" t="s">
        <v>58</v>
      </c>
      <c r="AN40" t="s">
        <v>58</v>
      </c>
      <c r="AO40" t="s">
        <v>58</v>
      </c>
      <c r="AP40">
        <v>748</v>
      </c>
      <c r="AQ40" t="s">
        <v>58</v>
      </c>
      <c r="AR40">
        <v>7</v>
      </c>
      <c r="AS40">
        <v>0.2</v>
      </c>
      <c r="AT40" t="s">
        <v>58</v>
      </c>
      <c r="AU40">
        <v>1.2</v>
      </c>
      <c r="AV40" t="s">
        <v>58</v>
      </c>
      <c r="AW40" t="s">
        <v>58</v>
      </c>
      <c r="AX40" t="s">
        <v>58</v>
      </c>
      <c r="AY40" t="s">
        <v>58</v>
      </c>
      <c r="AZ40">
        <v>32</v>
      </c>
      <c r="BA40">
        <v>13.3</v>
      </c>
      <c r="BB40">
        <v>1.8</v>
      </c>
      <c r="BC40">
        <v>1</v>
      </c>
      <c r="BD40">
        <v>3.9</v>
      </c>
    </row>
    <row r="41" spans="1:56" s="108" customFormat="1" ht="30" x14ac:dyDescent="0.25">
      <c r="A41" s="108" t="s">
        <v>55</v>
      </c>
      <c r="B41" s="108" t="s">
        <v>56</v>
      </c>
      <c r="C41" s="108" t="s">
        <v>189</v>
      </c>
      <c r="D41" s="109" t="s">
        <v>190</v>
      </c>
      <c r="E41" s="108" t="s">
        <v>174</v>
      </c>
      <c r="F41" s="110">
        <v>340780477</v>
      </c>
      <c r="G41" s="108" t="s">
        <v>61</v>
      </c>
      <c r="H41" s="108">
        <v>1</v>
      </c>
      <c r="I41" s="108" t="s">
        <v>58</v>
      </c>
      <c r="J41" s="108">
        <v>9</v>
      </c>
      <c r="K41" s="108">
        <v>0</v>
      </c>
      <c r="L41" s="108">
        <v>208</v>
      </c>
      <c r="M41" s="108">
        <v>26</v>
      </c>
      <c r="N41" s="108">
        <v>7</v>
      </c>
      <c r="O41" s="108" t="s">
        <v>58</v>
      </c>
      <c r="P41" s="108" t="s">
        <v>58</v>
      </c>
      <c r="Q41" s="108" t="s">
        <v>58</v>
      </c>
      <c r="R41" s="108">
        <v>81611</v>
      </c>
      <c r="S41" s="108">
        <v>193</v>
      </c>
      <c r="T41" s="108" t="s">
        <v>58</v>
      </c>
      <c r="U41" s="108" t="s">
        <v>58</v>
      </c>
      <c r="V41" s="108">
        <v>2459</v>
      </c>
      <c r="W41" s="108">
        <v>72727</v>
      </c>
      <c r="X41" s="108">
        <v>653</v>
      </c>
      <c r="Y41" s="108">
        <v>1312</v>
      </c>
      <c r="Z41" s="108" t="s">
        <v>58</v>
      </c>
      <c r="AA41" s="108" t="s">
        <v>58</v>
      </c>
      <c r="AB41" s="108" t="s">
        <v>58</v>
      </c>
      <c r="AC41" s="108">
        <v>36006</v>
      </c>
      <c r="AD41" s="108" t="s">
        <v>58</v>
      </c>
      <c r="AE41" s="108" t="s">
        <v>58</v>
      </c>
      <c r="AF41" s="108">
        <v>11</v>
      </c>
      <c r="AG41" s="108">
        <v>20</v>
      </c>
      <c r="AH41" s="108">
        <v>14</v>
      </c>
      <c r="AI41" s="108">
        <v>53115</v>
      </c>
      <c r="AJ41" s="108">
        <v>89478</v>
      </c>
      <c r="AK41" s="108">
        <v>36262</v>
      </c>
      <c r="AL41" s="108">
        <v>26460</v>
      </c>
      <c r="AM41" s="108">
        <v>6454</v>
      </c>
      <c r="AN41" s="108">
        <v>4518</v>
      </c>
      <c r="AO41" s="108">
        <v>241</v>
      </c>
      <c r="AP41" s="108">
        <v>22963</v>
      </c>
      <c r="AQ41" s="108">
        <v>18617</v>
      </c>
      <c r="AR41" s="108" t="s">
        <v>58</v>
      </c>
    </row>
    <row r="42" spans="1:56" x14ac:dyDescent="0.25">
      <c r="A42" t="s">
        <v>55</v>
      </c>
      <c r="B42" t="s">
        <v>56</v>
      </c>
      <c r="C42" t="s">
        <v>175</v>
      </c>
      <c r="D42" s="79" t="s">
        <v>176</v>
      </c>
      <c r="E42" t="s">
        <v>177</v>
      </c>
      <c r="F42" s="76">
        <v>340780758</v>
      </c>
      <c r="G42" t="s">
        <v>61</v>
      </c>
      <c r="H42">
        <v>0</v>
      </c>
      <c r="I42" t="s">
        <v>58</v>
      </c>
      <c r="J42" t="s">
        <v>58</v>
      </c>
      <c r="K42">
        <v>0</v>
      </c>
      <c r="L42">
        <v>168</v>
      </c>
      <c r="M42" t="s">
        <v>58</v>
      </c>
      <c r="N42" t="s">
        <v>58</v>
      </c>
      <c r="O42">
        <v>48</v>
      </c>
      <c r="P42" t="s">
        <v>58</v>
      </c>
      <c r="Q42" t="s">
        <v>58</v>
      </c>
      <c r="R42">
        <v>61320</v>
      </c>
      <c r="S42">
        <v>14</v>
      </c>
      <c r="T42" t="s">
        <v>58</v>
      </c>
      <c r="U42" t="s">
        <v>58</v>
      </c>
      <c r="V42">
        <v>1242</v>
      </c>
      <c r="W42">
        <v>52452</v>
      </c>
      <c r="X42" t="s">
        <v>58</v>
      </c>
      <c r="Y42" t="s">
        <v>58</v>
      </c>
      <c r="Z42">
        <v>14744</v>
      </c>
      <c r="AA42" t="s">
        <v>58</v>
      </c>
      <c r="AB42" t="s">
        <v>58</v>
      </c>
      <c r="AC42">
        <v>5071</v>
      </c>
      <c r="AD42" t="s">
        <v>58</v>
      </c>
      <c r="AE42" t="s">
        <v>58</v>
      </c>
      <c r="AF42" t="s">
        <v>58</v>
      </c>
      <c r="AG42" t="s">
        <v>58</v>
      </c>
      <c r="AH42" t="s">
        <v>58</v>
      </c>
      <c r="AI42" t="s">
        <v>58</v>
      </c>
      <c r="AJ42" t="s">
        <v>58</v>
      </c>
      <c r="AK42" t="s">
        <v>58</v>
      </c>
      <c r="AL42" t="s">
        <v>58</v>
      </c>
      <c r="AM42" t="s">
        <v>58</v>
      </c>
      <c r="AN42" t="s">
        <v>58</v>
      </c>
      <c r="AO42" t="s">
        <v>58</v>
      </c>
      <c r="AP42">
        <v>840</v>
      </c>
      <c r="AQ42" t="s">
        <v>58</v>
      </c>
      <c r="AR42">
        <v>8</v>
      </c>
      <c r="AS42">
        <v>0.9</v>
      </c>
      <c r="AT42" t="s">
        <v>58</v>
      </c>
      <c r="AU42">
        <v>3.17</v>
      </c>
      <c r="AV42" t="s">
        <v>58</v>
      </c>
      <c r="AW42" t="s">
        <v>58</v>
      </c>
      <c r="AX42" t="s">
        <v>58</v>
      </c>
      <c r="AY42">
        <v>122.45</v>
      </c>
      <c r="AZ42">
        <v>47.98</v>
      </c>
      <c r="BA42">
        <v>33.049999999999997</v>
      </c>
      <c r="BB42">
        <v>3.13</v>
      </c>
      <c r="BC42">
        <v>2.87</v>
      </c>
      <c r="BD42">
        <v>9.83</v>
      </c>
    </row>
    <row r="43" spans="1:56" ht="30" x14ac:dyDescent="0.25">
      <c r="A43" t="s">
        <v>55</v>
      </c>
      <c r="B43" t="s">
        <v>56</v>
      </c>
      <c r="C43" t="s">
        <v>178</v>
      </c>
      <c r="D43" s="79" t="s">
        <v>179</v>
      </c>
      <c r="E43" t="s">
        <v>83</v>
      </c>
      <c r="F43" s="76">
        <v>340780766</v>
      </c>
      <c r="G43" t="s">
        <v>61</v>
      </c>
      <c r="H43">
        <v>0</v>
      </c>
      <c r="I43" t="s">
        <v>58</v>
      </c>
      <c r="J43" t="s">
        <v>58</v>
      </c>
      <c r="K43">
        <v>0</v>
      </c>
      <c r="L43">
        <v>121</v>
      </c>
      <c r="M43" t="s">
        <v>58</v>
      </c>
      <c r="N43" t="s">
        <v>58</v>
      </c>
      <c r="O43" t="s">
        <v>58</v>
      </c>
      <c r="P43" t="s">
        <v>58</v>
      </c>
      <c r="Q43" t="s">
        <v>58</v>
      </c>
      <c r="R43">
        <v>44165</v>
      </c>
      <c r="S43" t="s">
        <v>58</v>
      </c>
      <c r="T43" t="s">
        <v>58</v>
      </c>
      <c r="U43" t="s">
        <v>58</v>
      </c>
      <c r="V43">
        <v>1092</v>
      </c>
      <c r="W43">
        <v>41266</v>
      </c>
      <c r="X43" t="s">
        <v>58</v>
      </c>
      <c r="Y43" t="s">
        <v>58</v>
      </c>
      <c r="Z43" t="s">
        <v>58</v>
      </c>
      <c r="AA43" t="s">
        <v>58</v>
      </c>
      <c r="AB43" t="s">
        <v>58</v>
      </c>
      <c r="AC43" t="s">
        <v>58</v>
      </c>
      <c r="AD43" t="s">
        <v>58</v>
      </c>
      <c r="AE43" t="s">
        <v>58</v>
      </c>
      <c r="AF43" t="s">
        <v>58</v>
      </c>
      <c r="AG43" t="s">
        <v>58</v>
      </c>
      <c r="AH43" t="s">
        <v>58</v>
      </c>
      <c r="AI43" t="s">
        <v>58</v>
      </c>
      <c r="AJ43" t="s">
        <v>58</v>
      </c>
      <c r="AK43" t="s">
        <v>58</v>
      </c>
      <c r="AL43" t="s">
        <v>58</v>
      </c>
      <c r="AM43" t="s">
        <v>58</v>
      </c>
      <c r="AN43" t="s">
        <v>58</v>
      </c>
      <c r="AO43" t="s">
        <v>58</v>
      </c>
      <c r="AP43">
        <v>755</v>
      </c>
      <c r="AQ43" t="s">
        <v>58</v>
      </c>
      <c r="AR43">
        <v>7</v>
      </c>
      <c r="AS43">
        <v>2.17</v>
      </c>
      <c r="AT43">
        <v>1</v>
      </c>
      <c r="AU43">
        <v>1.38</v>
      </c>
      <c r="AV43" t="s">
        <v>58</v>
      </c>
      <c r="AW43" t="s">
        <v>58</v>
      </c>
      <c r="AX43">
        <v>2</v>
      </c>
      <c r="AY43">
        <v>75.900000000000006</v>
      </c>
      <c r="AZ43">
        <v>35.950000000000003</v>
      </c>
      <c r="BA43">
        <v>12.89</v>
      </c>
      <c r="BB43">
        <v>3.04</v>
      </c>
      <c r="BC43">
        <v>4.87</v>
      </c>
      <c r="BD43">
        <v>5.63</v>
      </c>
    </row>
    <row r="44" spans="1:56" x14ac:dyDescent="0.25">
      <c r="A44" t="s">
        <v>55</v>
      </c>
      <c r="B44" t="s">
        <v>56</v>
      </c>
      <c r="C44" t="s">
        <v>180</v>
      </c>
      <c r="D44" s="79" t="s">
        <v>181</v>
      </c>
      <c r="E44" t="s">
        <v>182</v>
      </c>
      <c r="F44" s="76">
        <v>340780782</v>
      </c>
      <c r="G44" t="s">
        <v>61</v>
      </c>
      <c r="H44">
        <v>0</v>
      </c>
      <c r="I44" t="s">
        <v>58</v>
      </c>
      <c r="J44" t="s">
        <v>58</v>
      </c>
      <c r="K44">
        <v>0</v>
      </c>
      <c r="L44">
        <v>168</v>
      </c>
      <c r="M44" t="s">
        <v>58</v>
      </c>
      <c r="N44" t="s">
        <v>58</v>
      </c>
      <c r="O44" t="s">
        <v>58</v>
      </c>
      <c r="P44" t="s">
        <v>58</v>
      </c>
      <c r="Q44" t="s">
        <v>58</v>
      </c>
      <c r="R44">
        <v>61472</v>
      </c>
      <c r="S44" t="s">
        <v>58</v>
      </c>
      <c r="T44" t="s">
        <v>58</v>
      </c>
      <c r="U44" t="s">
        <v>58</v>
      </c>
      <c r="V44">
        <v>1136</v>
      </c>
      <c r="W44">
        <v>56817</v>
      </c>
      <c r="X44" t="s">
        <v>58</v>
      </c>
      <c r="Y44" t="s">
        <v>58</v>
      </c>
      <c r="Z44" t="s">
        <v>58</v>
      </c>
      <c r="AA44" t="s">
        <v>58</v>
      </c>
      <c r="AB44" t="s">
        <v>58</v>
      </c>
      <c r="AC44" t="s">
        <v>58</v>
      </c>
      <c r="AD44" t="s">
        <v>58</v>
      </c>
      <c r="AE44" t="s">
        <v>58</v>
      </c>
      <c r="AF44" t="s">
        <v>58</v>
      </c>
      <c r="AG44" t="s">
        <v>58</v>
      </c>
      <c r="AH44" t="s">
        <v>58</v>
      </c>
      <c r="AI44" t="s">
        <v>58</v>
      </c>
      <c r="AJ44" t="s">
        <v>58</v>
      </c>
      <c r="AK44" t="s">
        <v>58</v>
      </c>
      <c r="AL44" t="s">
        <v>58</v>
      </c>
      <c r="AM44" t="s">
        <v>58</v>
      </c>
      <c r="AN44" t="s">
        <v>58</v>
      </c>
      <c r="AO44" t="s">
        <v>58</v>
      </c>
      <c r="AP44">
        <v>743</v>
      </c>
      <c r="AQ44" t="s">
        <v>58</v>
      </c>
      <c r="AR44">
        <v>7</v>
      </c>
      <c r="AS44" t="s">
        <v>58</v>
      </c>
      <c r="AT44">
        <v>2</v>
      </c>
      <c r="AU44">
        <v>1</v>
      </c>
      <c r="AV44" t="s">
        <v>58</v>
      </c>
      <c r="AW44" t="s">
        <v>58</v>
      </c>
      <c r="AX44" t="s">
        <v>58</v>
      </c>
      <c r="AY44">
        <v>77.569999999999993</v>
      </c>
      <c r="AZ44">
        <v>53.3</v>
      </c>
      <c r="BA44">
        <v>20</v>
      </c>
      <c r="BB44">
        <v>2.5</v>
      </c>
      <c r="BC44">
        <v>1</v>
      </c>
      <c r="BD44">
        <v>1.77</v>
      </c>
    </row>
    <row r="45" spans="1:56" x14ac:dyDescent="0.25">
      <c r="A45" t="s">
        <v>55</v>
      </c>
      <c r="B45" t="s">
        <v>56</v>
      </c>
      <c r="C45" t="s">
        <v>183</v>
      </c>
      <c r="D45" s="79" t="s">
        <v>184</v>
      </c>
      <c r="E45" t="s">
        <v>185</v>
      </c>
      <c r="F45" s="76">
        <v>340780790</v>
      </c>
      <c r="G45" t="s">
        <v>61</v>
      </c>
      <c r="H45">
        <v>1</v>
      </c>
      <c r="I45" t="s">
        <v>58</v>
      </c>
      <c r="J45">
        <v>0</v>
      </c>
      <c r="K45">
        <v>0</v>
      </c>
      <c r="L45">
        <v>75</v>
      </c>
      <c r="M45">
        <v>0</v>
      </c>
      <c r="N45">
        <v>0</v>
      </c>
      <c r="O45">
        <v>0</v>
      </c>
      <c r="P45">
        <v>8</v>
      </c>
      <c r="Q45">
        <v>0</v>
      </c>
      <c r="R45">
        <v>27375</v>
      </c>
      <c r="S45">
        <v>0</v>
      </c>
      <c r="T45">
        <v>0</v>
      </c>
      <c r="U45">
        <v>0</v>
      </c>
      <c r="V45">
        <v>484</v>
      </c>
      <c r="W45">
        <v>26546</v>
      </c>
      <c r="X45">
        <v>0</v>
      </c>
      <c r="Y45">
        <v>0</v>
      </c>
      <c r="Z45">
        <v>0</v>
      </c>
      <c r="AA45">
        <v>6310</v>
      </c>
      <c r="AB45">
        <v>0</v>
      </c>
      <c r="AC45">
        <v>0</v>
      </c>
      <c r="AD45">
        <v>0</v>
      </c>
      <c r="AE45">
        <v>0</v>
      </c>
      <c r="AF45">
        <v>0</v>
      </c>
      <c r="AG45" t="s">
        <v>58</v>
      </c>
      <c r="AH45" t="s">
        <v>58</v>
      </c>
      <c r="AI45" t="s">
        <v>58</v>
      </c>
      <c r="AJ45" t="s">
        <v>58</v>
      </c>
      <c r="AK45" t="s">
        <v>58</v>
      </c>
      <c r="AL45" t="s">
        <v>58</v>
      </c>
      <c r="AM45" t="s">
        <v>58</v>
      </c>
      <c r="AN45" t="s">
        <v>58</v>
      </c>
      <c r="AO45" t="s">
        <v>58</v>
      </c>
      <c r="AP45">
        <v>451</v>
      </c>
      <c r="AQ45" t="s">
        <v>58</v>
      </c>
      <c r="AR45">
        <v>4</v>
      </c>
      <c r="AS45" t="s">
        <v>58</v>
      </c>
      <c r="AT45" t="s">
        <v>58</v>
      </c>
      <c r="AU45">
        <v>3</v>
      </c>
      <c r="AV45" t="s">
        <v>58</v>
      </c>
      <c r="AW45" t="s">
        <v>58</v>
      </c>
      <c r="AX45">
        <v>6</v>
      </c>
      <c r="AY45">
        <v>36.96</v>
      </c>
      <c r="AZ45">
        <v>14.71</v>
      </c>
      <c r="BA45">
        <v>19.559999999999999</v>
      </c>
      <c r="BB45">
        <v>1.69</v>
      </c>
      <c r="BC45">
        <v>0</v>
      </c>
      <c r="BD45">
        <v>0</v>
      </c>
    </row>
    <row r="46" spans="1:56" ht="30" x14ac:dyDescent="0.25">
      <c r="A46" t="s">
        <v>55</v>
      </c>
      <c r="B46" t="s">
        <v>56</v>
      </c>
      <c r="C46" t="s">
        <v>186</v>
      </c>
      <c r="D46" s="79" t="s">
        <v>187</v>
      </c>
      <c r="E46" t="s">
        <v>188</v>
      </c>
      <c r="F46" s="76">
        <v>340780931</v>
      </c>
      <c r="G46" t="s">
        <v>61</v>
      </c>
      <c r="H46">
        <v>0</v>
      </c>
      <c r="I46" t="s">
        <v>58</v>
      </c>
      <c r="J46" t="s">
        <v>58</v>
      </c>
      <c r="K46">
        <v>0</v>
      </c>
      <c r="L46">
        <v>90</v>
      </c>
      <c r="M46" t="s">
        <v>58</v>
      </c>
      <c r="N46" t="s">
        <v>58</v>
      </c>
      <c r="O46" t="s">
        <v>58</v>
      </c>
      <c r="P46" t="s">
        <v>58</v>
      </c>
      <c r="Q46" t="s">
        <v>58</v>
      </c>
      <c r="R46">
        <v>32850</v>
      </c>
      <c r="S46">
        <v>12</v>
      </c>
      <c r="T46" t="s">
        <v>58</v>
      </c>
      <c r="U46" t="s">
        <v>58</v>
      </c>
      <c r="V46">
        <v>319</v>
      </c>
      <c r="W46">
        <v>31255</v>
      </c>
      <c r="X46" t="s">
        <v>58</v>
      </c>
      <c r="Y46" t="s">
        <v>58</v>
      </c>
      <c r="Z46" t="s">
        <v>58</v>
      </c>
      <c r="AA46" t="s">
        <v>58</v>
      </c>
      <c r="AB46" t="s">
        <v>58</v>
      </c>
      <c r="AC46">
        <v>5830</v>
      </c>
      <c r="AD46" t="s">
        <v>58</v>
      </c>
      <c r="AE46" t="s">
        <v>58</v>
      </c>
      <c r="AF46" t="s">
        <v>58</v>
      </c>
      <c r="AG46" t="s">
        <v>58</v>
      </c>
      <c r="AH46" t="s">
        <v>58</v>
      </c>
      <c r="AI46" t="s">
        <v>58</v>
      </c>
      <c r="AJ46" t="s">
        <v>58</v>
      </c>
      <c r="AK46" t="s">
        <v>58</v>
      </c>
      <c r="AL46" t="s">
        <v>58</v>
      </c>
      <c r="AM46" t="s">
        <v>58</v>
      </c>
      <c r="AN46" t="s">
        <v>58</v>
      </c>
      <c r="AO46" t="s">
        <v>58</v>
      </c>
      <c r="AP46">
        <v>382</v>
      </c>
      <c r="AQ46" t="s">
        <v>58</v>
      </c>
      <c r="AR46">
        <v>5</v>
      </c>
      <c r="AS46" t="s">
        <v>58</v>
      </c>
      <c r="AT46">
        <v>5</v>
      </c>
      <c r="AU46">
        <v>4.09</v>
      </c>
      <c r="AV46" t="s">
        <v>58</v>
      </c>
      <c r="AW46" t="s">
        <v>58</v>
      </c>
      <c r="AX46" t="s">
        <v>58</v>
      </c>
      <c r="AY46">
        <v>55.06</v>
      </c>
      <c r="AZ46">
        <v>35.380000000000003</v>
      </c>
      <c r="BA46" t="s">
        <v>58</v>
      </c>
      <c r="BB46">
        <v>6.91</v>
      </c>
      <c r="BC46" t="s">
        <v>58</v>
      </c>
      <c r="BD46">
        <v>2.99</v>
      </c>
    </row>
    <row r="47" spans="1:56" x14ac:dyDescent="0.25">
      <c r="A47" t="s">
        <v>55</v>
      </c>
      <c r="B47" t="s">
        <v>56</v>
      </c>
      <c r="C47" t="s">
        <v>193</v>
      </c>
      <c r="D47" s="79" t="s">
        <v>194</v>
      </c>
      <c r="E47" t="s">
        <v>193</v>
      </c>
      <c r="F47" s="76">
        <v>460780554</v>
      </c>
      <c r="G47" t="s">
        <v>61</v>
      </c>
      <c r="H47">
        <v>1</v>
      </c>
      <c r="I47" t="s">
        <v>58</v>
      </c>
      <c r="J47">
        <v>2</v>
      </c>
      <c r="K47">
        <v>0</v>
      </c>
      <c r="L47">
        <v>130</v>
      </c>
      <c r="M47" t="s">
        <v>58</v>
      </c>
      <c r="N47">
        <v>8</v>
      </c>
      <c r="O47" t="s">
        <v>58</v>
      </c>
      <c r="P47" t="s">
        <v>58</v>
      </c>
      <c r="Q47" t="s">
        <v>58</v>
      </c>
      <c r="R47">
        <v>42150</v>
      </c>
      <c r="S47">
        <v>85</v>
      </c>
      <c r="T47">
        <v>8</v>
      </c>
      <c r="U47" t="s">
        <v>58</v>
      </c>
      <c r="V47">
        <v>2025</v>
      </c>
      <c r="W47">
        <v>35532</v>
      </c>
      <c r="X47">
        <v>0</v>
      </c>
      <c r="Y47">
        <v>1663</v>
      </c>
      <c r="Z47">
        <v>0</v>
      </c>
      <c r="AA47">
        <v>0</v>
      </c>
      <c r="AB47">
        <v>0</v>
      </c>
      <c r="AC47">
        <v>11606</v>
      </c>
      <c r="AD47">
        <v>42</v>
      </c>
      <c r="AE47">
        <v>0</v>
      </c>
      <c r="AF47">
        <v>19</v>
      </c>
      <c r="AG47">
        <v>5</v>
      </c>
      <c r="AH47">
        <v>12</v>
      </c>
      <c r="AI47">
        <v>56309</v>
      </c>
      <c r="AJ47">
        <v>1354</v>
      </c>
      <c r="AK47">
        <v>4638</v>
      </c>
      <c r="AL47">
        <v>7770</v>
      </c>
      <c r="AM47">
        <v>1874</v>
      </c>
      <c r="AN47">
        <v>2569</v>
      </c>
      <c r="AO47">
        <v>127</v>
      </c>
      <c r="AP47">
        <v>7930</v>
      </c>
      <c r="AQ47">
        <v>6878</v>
      </c>
      <c r="AR47" t="s">
        <v>58</v>
      </c>
      <c r="AS47">
        <v>20.7</v>
      </c>
      <c r="AT47" t="s">
        <v>58</v>
      </c>
      <c r="AU47">
        <v>5.6</v>
      </c>
      <c r="AV47" t="s">
        <v>58</v>
      </c>
      <c r="AW47" t="s">
        <v>58</v>
      </c>
      <c r="AX47" t="s">
        <v>58</v>
      </c>
      <c r="AY47">
        <v>380.71</v>
      </c>
      <c r="AZ47">
        <v>197.92</v>
      </c>
      <c r="BA47">
        <v>66.88</v>
      </c>
      <c r="BB47">
        <v>20.09</v>
      </c>
      <c r="BC47">
        <v>8.35</v>
      </c>
      <c r="BD47">
        <v>32.950000000000003</v>
      </c>
    </row>
    <row r="48" spans="1:56" ht="30" x14ac:dyDescent="0.25">
      <c r="A48" t="s">
        <v>55</v>
      </c>
      <c r="B48" t="s">
        <v>56</v>
      </c>
      <c r="C48" t="s">
        <v>195</v>
      </c>
      <c r="D48" s="79" t="s">
        <v>196</v>
      </c>
      <c r="E48" t="s">
        <v>197</v>
      </c>
      <c r="F48" s="76">
        <v>480780147</v>
      </c>
      <c r="G48" t="s">
        <v>61</v>
      </c>
      <c r="H48">
        <v>1</v>
      </c>
      <c r="I48" t="s">
        <v>58</v>
      </c>
      <c r="J48">
        <v>0</v>
      </c>
      <c r="K48">
        <v>1</v>
      </c>
      <c r="L48">
        <v>104</v>
      </c>
      <c r="M48">
        <v>0</v>
      </c>
      <c r="N48">
        <v>0</v>
      </c>
      <c r="O48">
        <v>0</v>
      </c>
      <c r="P48">
        <v>0</v>
      </c>
      <c r="Q48">
        <v>0</v>
      </c>
      <c r="R48">
        <v>37330</v>
      </c>
      <c r="S48">
        <v>54</v>
      </c>
      <c r="T48">
        <v>0</v>
      </c>
      <c r="U48">
        <v>0</v>
      </c>
      <c r="V48">
        <v>1210</v>
      </c>
      <c r="W48">
        <v>21004</v>
      </c>
      <c r="X48">
        <v>0</v>
      </c>
      <c r="Y48">
        <v>0</v>
      </c>
      <c r="Z48">
        <v>0</v>
      </c>
      <c r="AA48">
        <v>0</v>
      </c>
      <c r="AB48">
        <v>0</v>
      </c>
      <c r="AC48">
        <v>6523</v>
      </c>
      <c r="AD48">
        <v>0</v>
      </c>
      <c r="AE48">
        <v>0</v>
      </c>
      <c r="AF48">
        <v>11</v>
      </c>
      <c r="AG48">
        <v>2</v>
      </c>
      <c r="AH48">
        <v>0</v>
      </c>
      <c r="AI48">
        <v>43280</v>
      </c>
      <c r="AJ48">
        <v>405</v>
      </c>
      <c r="AK48">
        <v>0</v>
      </c>
      <c r="AL48">
        <v>1787</v>
      </c>
      <c r="AM48">
        <v>671</v>
      </c>
      <c r="AN48">
        <v>154</v>
      </c>
      <c r="AO48">
        <v>40</v>
      </c>
      <c r="AP48">
        <v>4084</v>
      </c>
      <c r="AQ48">
        <v>3447</v>
      </c>
      <c r="AR48" t="s">
        <v>58</v>
      </c>
      <c r="AS48">
        <v>7.85</v>
      </c>
      <c r="AT48" t="s">
        <v>58</v>
      </c>
      <c r="AU48">
        <v>1</v>
      </c>
      <c r="AV48" t="s">
        <v>58</v>
      </c>
      <c r="AW48" t="s">
        <v>58</v>
      </c>
      <c r="AX48" t="s">
        <v>58</v>
      </c>
      <c r="AY48">
        <v>255.89</v>
      </c>
      <c r="AZ48">
        <v>135</v>
      </c>
      <c r="BA48">
        <v>35.58</v>
      </c>
      <c r="BB48">
        <v>16.940000000000001</v>
      </c>
      <c r="BC48">
        <v>10.94</v>
      </c>
      <c r="BD48">
        <v>30.37</v>
      </c>
    </row>
    <row r="49" spans="1:56" x14ac:dyDescent="0.25">
      <c r="A49" t="s">
        <v>55</v>
      </c>
      <c r="B49" t="s">
        <v>56</v>
      </c>
      <c r="C49" t="s">
        <v>198</v>
      </c>
      <c r="D49" s="79" t="s">
        <v>199</v>
      </c>
      <c r="E49" t="s">
        <v>200</v>
      </c>
      <c r="F49" s="76">
        <v>650780174</v>
      </c>
      <c r="G49" t="s">
        <v>61</v>
      </c>
      <c r="H49">
        <v>1</v>
      </c>
      <c r="I49" t="s">
        <v>58</v>
      </c>
      <c r="J49">
        <v>4</v>
      </c>
      <c r="K49">
        <v>1</v>
      </c>
      <c r="L49">
        <v>215</v>
      </c>
      <c r="M49">
        <v>7</v>
      </c>
      <c r="N49" t="s">
        <v>58</v>
      </c>
      <c r="O49">
        <v>17</v>
      </c>
      <c r="P49" t="s">
        <v>58</v>
      </c>
      <c r="Q49">
        <v>19</v>
      </c>
      <c r="R49">
        <v>77811</v>
      </c>
      <c r="S49">
        <v>153</v>
      </c>
      <c r="T49">
        <v>5</v>
      </c>
      <c r="U49">
        <v>0</v>
      </c>
      <c r="V49">
        <v>2089</v>
      </c>
      <c r="W49">
        <v>62785</v>
      </c>
      <c r="X49">
        <v>539</v>
      </c>
      <c r="Y49" t="s">
        <v>58</v>
      </c>
      <c r="Z49">
        <v>4551</v>
      </c>
      <c r="AA49" t="s">
        <v>58</v>
      </c>
      <c r="AB49">
        <v>5708</v>
      </c>
      <c r="AC49">
        <v>16221</v>
      </c>
      <c r="AD49">
        <v>35</v>
      </c>
      <c r="AE49" t="s">
        <v>58</v>
      </c>
      <c r="AF49">
        <v>17</v>
      </c>
      <c r="AG49">
        <v>5</v>
      </c>
      <c r="AH49">
        <v>12</v>
      </c>
      <c r="AI49">
        <v>89815</v>
      </c>
      <c r="AJ49">
        <v>1823</v>
      </c>
      <c r="AK49">
        <v>24332</v>
      </c>
      <c r="AL49">
        <v>14239</v>
      </c>
      <c r="AM49">
        <v>1101</v>
      </c>
      <c r="AN49">
        <v>4551</v>
      </c>
      <c r="AO49">
        <v>86</v>
      </c>
      <c r="AP49">
        <v>11376</v>
      </c>
      <c r="AQ49">
        <v>9602</v>
      </c>
      <c r="AR49" t="s">
        <v>58</v>
      </c>
      <c r="AS49">
        <v>22.96</v>
      </c>
      <c r="AT49" t="s">
        <v>58</v>
      </c>
      <c r="AU49">
        <v>5.25</v>
      </c>
      <c r="AV49" t="s">
        <v>58</v>
      </c>
      <c r="AW49" t="s">
        <v>58</v>
      </c>
      <c r="AX49" t="s">
        <v>58</v>
      </c>
      <c r="AY49">
        <v>453.31</v>
      </c>
      <c r="AZ49">
        <v>307.04000000000002</v>
      </c>
      <c r="BA49">
        <v>29.39</v>
      </c>
      <c r="BB49">
        <v>27.76</v>
      </c>
      <c r="BC49">
        <v>4.54</v>
      </c>
      <c r="BD49">
        <v>35.46</v>
      </c>
    </row>
    <row r="50" spans="1:56" x14ac:dyDescent="0.25">
      <c r="A50" t="s">
        <v>55</v>
      </c>
      <c r="B50" t="s">
        <v>56</v>
      </c>
      <c r="C50" t="s">
        <v>201</v>
      </c>
      <c r="D50" s="79" t="s">
        <v>202</v>
      </c>
      <c r="E50" t="s">
        <v>203</v>
      </c>
      <c r="F50" s="76">
        <v>650780729</v>
      </c>
      <c r="G50" t="s">
        <v>61</v>
      </c>
      <c r="H50">
        <v>0</v>
      </c>
      <c r="I50" t="s">
        <v>58</v>
      </c>
      <c r="J50" t="s">
        <v>58</v>
      </c>
      <c r="K50">
        <v>0</v>
      </c>
      <c r="L50">
        <v>49</v>
      </c>
      <c r="M50" t="s">
        <v>58</v>
      </c>
      <c r="N50" t="s">
        <v>58</v>
      </c>
      <c r="O50" t="s">
        <v>58</v>
      </c>
      <c r="P50" t="s">
        <v>58</v>
      </c>
      <c r="Q50" t="s">
        <v>58</v>
      </c>
      <c r="R50">
        <v>17885</v>
      </c>
      <c r="S50">
        <v>12</v>
      </c>
      <c r="T50" t="s">
        <v>58</v>
      </c>
      <c r="U50" t="s">
        <v>58</v>
      </c>
      <c r="V50">
        <v>335</v>
      </c>
      <c r="W50">
        <v>14171</v>
      </c>
      <c r="X50" t="s">
        <v>58</v>
      </c>
      <c r="Y50" t="s">
        <v>58</v>
      </c>
      <c r="Z50" t="s">
        <v>58</v>
      </c>
      <c r="AA50" t="s">
        <v>58</v>
      </c>
      <c r="AB50" t="s">
        <v>58</v>
      </c>
      <c r="AC50">
        <v>1203</v>
      </c>
      <c r="AD50" t="s">
        <v>58</v>
      </c>
      <c r="AE50" t="s">
        <v>58</v>
      </c>
      <c r="AF50" t="s">
        <v>58</v>
      </c>
      <c r="AG50" t="s">
        <v>58</v>
      </c>
      <c r="AH50" t="s">
        <v>58</v>
      </c>
      <c r="AI50" t="s">
        <v>58</v>
      </c>
      <c r="AJ50" t="s">
        <v>58</v>
      </c>
      <c r="AK50" t="s">
        <v>58</v>
      </c>
      <c r="AL50" t="s">
        <v>58</v>
      </c>
      <c r="AM50" t="s">
        <v>58</v>
      </c>
      <c r="AN50" t="s">
        <v>58</v>
      </c>
      <c r="AO50" t="s">
        <v>58</v>
      </c>
      <c r="AP50">
        <v>460</v>
      </c>
      <c r="AQ50" t="s">
        <v>58</v>
      </c>
      <c r="AR50">
        <v>4</v>
      </c>
      <c r="AS50" t="s">
        <v>58</v>
      </c>
      <c r="AT50" t="s">
        <v>58</v>
      </c>
      <c r="AU50" t="s">
        <v>58</v>
      </c>
      <c r="AV50" t="s">
        <v>58</v>
      </c>
      <c r="AW50" t="s">
        <v>58</v>
      </c>
      <c r="AX50" t="s">
        <v>58</v>
      </c>
      <c r="AY50">
        <v>14.8</v>
      </c>
      <c r="AZ50">
        <v>3.2</v>
      </c>
      <c r="BA50" t="s">
        <v>58</v>
      </c>
      <c r="BB50" t="s">
        <v>58</v>
      </c>
      <c r="BC50">
        <v>1</v>
      </c>
      <c r="BD50" t="s">
        <v>58</v>
      </c>
    </row>
    <row r="51" spans="1:56" ht="30" x14ac:dyDescent="0.25">
      <c r="A51" t="s">
        <v>55</v>
      </c>
      <c r="B51" t="s">
        <v>56</v>
      </c>
      <c r="C51" t="s">
        <v>204</v>
      </c>
      <c r="D51" s="79" t="s">
        <v>205</v>
      </c>
      <c r="E51">
        <v>650000284</v>
      </c>
      <c r="F51" s="76">
        <v>650780737</v>
      </c>
      <c r="G51" t="s">
        <v>61</v>
      </c>
      <c r="H51">
        <v>0</v>
      </c>
      <c r="I51" t="s">
        <v>58</v>
      </c>
      <c r="J51" t="s">
        <v>58</v>
      </c>
      <c r="K51">
        <v>0</v>
      </c>
      <c r="L51">
        <v>43</v>
      </c>
      <c r="M51">
        <v>0</v>
      </c>
      <c r="N51">
        <v>0</v>
      </c>
      <c r="O51">
        <v>0</v>
      </c>
      <c r="P51">
        <v>0</v>
      </c>
      <c r="Q51">
        <v>0</v>
      </c>
      <c r="R51">
        <v>15695</v>
      </c>
      <c r="S51">
        <v>0</v>
      </c>
      <c r="T51">
        <v>0</v>
      </c>
      <c r="U51">
        <v>0</v>
      </c>
      <c r="V51">
        <v>381</v>
      </c>
      <c r="W51">
        <v>13977</v>
      </c>
      <c r="X51">
        <v>0</v>
      </c>
      <c r="Y51">
        <v>0</v>
      </c>
      <c r="Z51">
        <v>0</v>
      </c>
      <c r="AA51">
        <v>0</v>
      </c>
      <c r="AB51">
        <v>0</v>
      </c>
      <c r="AC51">
        <v>0</v>
      </c>
      <c r="AD51">
        <v>0</v>
      </c>
      <c r="AE51">
        <v>0</v>
      </c>
      <c r="AF51">
        <v>0</v>
      </c>
      <c r="AG51">
        <v>0</v>
      </c>
      <c r="AH51">
        <v>0</v>
      </c>
      <c r="AI51">
        <v>0</v>
      </c>
      <c r="AJ51">
        <v>0</v>
      </c>
      <c r="AK51">
        <v>0</v>
      </c>
      <c r="AL51">
        <v>0</v>
      </c>
      <c r="AM51">
        <v>0</v>
      </c>
      <c r="AN51">
        <v>0</v>
      </c>
      <c r="AO51">
        <v>0</v>
      </c>
      <c r="AP51">
        <v>306</v>
      </c>
      <c r="AQ51">
        <v>0</v>
      </c>
      <c r="AR51">
        <v>2</v>
      </c>
      <c r="AS51">
        <v>0</v>
      </c>
      <c r="AT51">
        <v>0</v>
      </c>
      <c r="AU51">
        <v>2</v>
      </c>
      <c r="AV51" t="s">
        <v>58</v>
      </c>
      <c r="AW51" t="s">
        <v>58</v>
      </c>
      <c r="AX51">
        <v>0</v>
      </c>
      <c r="AY51">
        <v>21.75</v>
      </c>
      <c r="AZ51">
        <v>9.19</v>
      </c>
      <c r="BA51">
        <v>10.71</v>
      </c>
      <c r="BB51">
        <v>0.85</v>
      </c>
      <c r="BC51">
        <v>0</v>
      </c>
      <c r="BD51">
        <v>1</v>
      </c>
    </row>
    <row r="52" spans="1:56" ht="30" x14ac:dyDescent="0.25">
      <c r="A52" t="s">
        <v>55</v>
      </c>
      <c r="B52" t="s">
        <v>56</v>
      </c>
      <c r="C52" t="s">
        <v>207</v>
      </c>
      <c r="D52" s="79" t="s">
        <v>208</v>
      </c>
      <c r="E52" t="s">
        <v>209</v>
      </c>
      <c r="F52" s="76">
        <v>660780198</v>
      </c>
      <c r="G52" t="s">
        <v>61</v>
      </c>
      <c r="H52">
        <v>1</v>
      </c>
      <c r="I52" t="s">
        <v>58</v>
      </c>
      <c r="J52">
        <v>9</v>
      </c>
      <c r="K52">
        <v>1</v>
      </c>
      <c r="L52">
        <v>217</v>
      </c>
      <c r="M52">
        <v>16</v>
      </c>
      <c r="N52">
        <v>14</v>
      </c>
      <c r="O52">
        <v>10</v>
      </c>
      <c r="P52">
        <v>10</v>
      </c>
      <c r="Q52">
        <v>0</v>
      </c>
      <c r="R52">
        <v>83950</v>
      </c>
      <c r="S52">
        <v>204</v>
      </c>
      <c r="T52">
        <v>0</v>
      </c>
      <c r="U52">
        <v>0</v>
      </c>
      <c r="V52">
        <v>2172</v>
      </c>
      <c r="W52">
        <v>69431</v>
      </c>
      <c r="X52">
        <v>0</v>
      </c>
      <c r="Y52">
        <v>2456</v>
      </c>
      <c r="Z52">
        <v>0</v>
      </c>
      <c r="AA52">
        <v>2995</v>
      </c>
      <c r="AB52">
        <v>0</v>
      </c>
      <c r="AC52">
        <v>22498</v>
      </c>
      <c r="AD52">
        <v>0</v>
      </c>
      <c r="AE52">
        <v>0</v>
      </c>
      <c r="AF52">
        <v>22</v>
      </c>
      <c r="AG52">
        <v>15</v>
      </c>
      <c r="AH52">
        <v>22</v>
      </c>
      <c r="AI52">
        <v>98972</v>
      </c>
      <c r="AJ52">
        <v>4743</v>
      </c>
      <c r="AK52">
        <v>4743</v>
      </c>
      <c r="AL52">
        <v>27903</v>
      </c>
      <c r="AM52">
        <v>5606</v>
      </c>
      <c r="AN52">
        <v>9131</v>
      </c>
      <c r="AO52">
        <v>426</v>
      </c>
      <c r="AP52">
        <v>16713</v>
      </c>
      <c r="AQ52">
        <v>14118</v>
      </c>
      <c r="AR52" t="s">
        <v>58</v>
      </c>
      <c r="AS52">
        <v>48.26</v>
      </c>
      <c r="AT52" t="s">
        <v>58</v>
      </c>
      <c r="AU52">
        <v>12.28</v>
      </c>
      <c r="AV52" t="s">
        <v>58</v>
      </c>
      <c r="AW52" t="s">
        <v>58</v>
      </c>
      <c r="AX52" t="s">
        <v>58</v>
      </c>
      <c r="AY52">
        <v>704.97</v>
      </c>
      <c r="AZ52">
        <v>401.12</v>
      </c>
      <c r="BA52">
        <v>84.57</v>
      </c>
      <c r="BB52">
        <v>40.909999999999997</v>
      </c>
      <c r="BC52">
        <v>14.53</v>
      </c>
      <c r="BD52">
        <v>49.41</v>
      </c>
    </row>
    <row r="53" spans="1:56" x14ac:dyDescent="0.25">
      <c r="A53" s="94" t="s">
        <v>55</v>
      </c>
      <c r="B53" s="94" t="s">
        <v>56</v>
      </c>
      <c r="C53" s="97">
        <v>660780214</v>
      </c>
      <c r="D53" s="89" t="s">
        <v>377</v>
      </c>
      <c r="E53" s="97">
        <v>660780214</v>
      </c>
      <c r="F53" s="76">
        <v>660780214</v>
      </c>
      <c r="G53" t="s">
        <v>61</v>
      </c>
      <c r="L53">
        <v>65</v>
      </c>
    </row>
    <row r="54" spans="1:56" x14ac:dyDescent="0.25">
      <c r="A54" t="s">
        <v>55</v>
      </c>
      <c r="B54" t="s">
        <v>56</v>
      </c>
      <c r="C54" t="s">
        <v>210</v>
      </c>
      <c r="D54" s="79" t="s">
        <v>211</v>
      </c>
      <c r="E54" t="s">
        <v>210</v>
      </c>
      <c r="F54" s="76">
        <v>660780248</v>
      </c>
      <c r="G54" t="s">
        <v>61</v>
      </c>
      <c r="H54">
        <v>0</v>
      </c>
      <c r="I54" t="s">
        <v>58</v>
      </c>
      <c r="J54" t="s">
        <v>58</v>
      </c>
      <c r="K54">
        <v>0</v>
      </c>
      <c r="L54">
        <v>127</v>
      </c>
      <c r="M54" t="s">
        <v>58</v>
      </c>
      <c r="N54" t="s">
        <v>58</v>
      </c>
      <c r="O54" t="s">
        <v>58</v>
      </c>
      <c r="P54" t="s">
        <v>58</v>
      </c>
      <c r="Q54" t="s">
        <v>58</v>
      </c>
      <c r="R54">
        <v>46355</v>
      </c>
      <c r="S54">
        <v>20</v>
      </c>
      <c r="T54" t="s">
        <v>58</v>
      </c>
      <c r="U54" t="s">
        <v>58</v>
      </c>
      <c r="V54">
        <v>1441</v>
      </c>
      <c r="W54">
        <v>43212</v>
      </c>
      <c r="X54" t="s">
        <v>58</v>
      </c>
      <c r="Y54" t="s">
        <v>58</v>
      </c>
      <c r="Z54" t="s">
        <v>58</v>
      </c>
      <c r="AA54" t="s">
        <v>58</v>
      </c>
      <c r="AB54" t="s">
        <v>58</v>
      </c>
      <c r="AC54">
        <v>15073</v>
      </c>
      <c r="AD54" t="s">
        <v>58</v>
      </c>
      <c r="AE54" t="s">
        <v>58</v>
      </c>
      <c r="AF54" t="s">
        <v>58</v>
      </c>
      <c r="AG54" t="s">
        <v>58</v>
      </c>
      <c r="AH54" t="s">
        <v>58</v>
      </c>
      <c r="AI54" t="s">
        <v>58</v>
      </c>
      <c r="AJ54" t="s">
        <v>58</v>
      </c>
      <c r="AK54" t="s">
        <v>58</v>
      </c>
      <c r="AL54" t="s">
        <v>58</v>
      </c>
      <c r="AM54" t="s">
        <v>58</v>
      </c>
      <c r="AN54" t="s">
        <v>58</v>
      </c>
      <c r="AO54" t="s">
        <v>58</v>
      </c>
      <c r="AP54">
        <v>1014</v>
      </c>
      <c r="AQ54" t="s">
        <v>58</v>
      </c>
      <c r="AR54">
        <v>7</v>
      </c>
      <c r="AS54" t="s">
        <v>58</v>
      </c>
      <c r="AT54">
        <v>3</v>
      </c>
      <c r="AU54" t="s">
        <v>58</v>
      </c>
      <c r="AV54" t="s">
        <v>58</v>
      </c>
      <c r="AW54" t="s">
        <v>58</v>
      </c>
      <c r="AX54">
        <v>9</v>
      </c>
      <c r="AY54">
        <v>67.3</v>
      </c>
      <c r="AZ54">
        <v>23.63</v>
      </c>
      <c r="BA54">
        <v>16.399999999999999</v>
      </c>
      <c r="BB54">
        <v>2.4700000000000002</v>
      </c>
      <c r="BC54" t="s">
        <v>58</v>
      </c>
      <c r="BD54">
        <v>3.13</v>
      </c>
    </row>
    <row r="55" spans="1:56" ht="30" x14ac:dyDescent="0.25">
      <c r="A55" t="s">
        <v>55</v>
      </c>
      <c r="B55" t="s">
        <v>56</v>
      </c>
      <c r="C55" t="s">
        <v>212</v>
      </c>
      <c r="D55" s="79" t="s">
        <v>213</v>
      </c>
      <c r="E55" t="s">
        <v>83</v>
      </c>
      <c r="F55" s="76">
        <v>660780735</v>
      </c>
      <c r="G55" t="s">
        <v>61</v>
      </c>
      <c r="H55">
        <v>0</v>
      </c>
      <c r="I55" t="s">
        <v>58</v>
      </c>
      <c r="J55" t="s">
        <v>58</v>
      </c>
      <c r="K55">
        <v>0</v>
      </c>
      <c r="L55">
        <v>84</v>
      </c>
      <c r="M55" t="s">
        <v>58</v>
      </c>
      <c r="N55" t="s">
        <v>58</v>
      </c>
      <c r="O55">
        <v>60</v>
      </c>
      <c r="P55" t="s">
        <v>58</v>
      </c>
      <c r="Q55" t="s">
        <v>58</v>
      </c>
      <c r="R55">
        <v>30660</v>
      </c>
      <c r="S55">
        <v>28</v>
      </c>
      <c r="T55" t="s">
        <v>58</v>
      </c>
      <c r="U55" t="s">
        <v>58</v>
      </c>
      <c r="V55">
        <v>606</v>
      </c>
      <c r="W55">
        <v>30632</v>
      </c>
      <c r="X55" t="s">
        <v>58</v>
      </c>
      <c r="Y55" t="s">
        <v>58</v>
      </c>
      <c r="Z55">
        <v>20470</v>
      </c>
      <c r="AA55" t="s">
        <v>58</v>
      </c>
      <c r="AB55" t="s">
        <v>58</v>
      </c>
      <c r="AC55">
        <v>5328</v>
      </c>
      <c r="AD55" t="s">
        <v>58</v>
      </c>
      <c r="AE55" t="s">
        <v>58</v>
      </c>
      <c r="AF55" t="s">
        <v>58</v>
      </c>
      <c r="AG55" t="s">
        <v>58</v>
      </c>
      <c r="AH55" t="s">
        <v>58</v>
      </c>
      <c r="AI55" t="s">
        <v>58</v>
      </c>
      <c r="AJ55" t="s">
        <v>58</v>
      </c>
      <c r="AK55" t="s">
        <v>58</v>
      </c>
      <c r="AL55" t="s">
        <v>58</v>
      </c>
      <c r="AM55" t="s">
        <v>58</v>
      </c>
      <c r="AN55" t="s">
        <v>58</v>
      </c>
      <c r="AO55" t="s">
        <v>58</v>
      </c>
      <c r="AP55">
        <v>858</v>
      </c>
      <c r="AQ55" t="s">
        <v>58</v>
      </c>
      <c r="AR55">
        <v>2</v>
      </c>
      <c r="AS55">
        <v>3.46</v>
      </c>
      <c r="AT55">
        <v>1</v>
      </c>
      <c r="AU55">
        <v>2.41</v>
      </c>
      <c r="AV55" t="s">
        <v>58</v>
      </c>
      <c r="AW55" t="s">
        <v>58</v>
      </c>
      <c r="AX55">
        <v>1</v>
      </c>
      <c r="AY55">
        <v>87.76</v>
      </c>
      <c r="AZ55">
        <v>35.01</v>
      </c>
      <c r="BA55">
        <v>15.83</v>
      </c>
      <c r="BB55">
        <v>4.75</v>
      </c>
      <c r="BC55">
        <v>4.46</v>
      </c>
      <c r="BD55">
        <v>11.7</v>
      </c>
    </row>
    <row r="56" spans="1:56" x14ac:dyDescent="0.25">
      <c r="A56" t="s">
        <v>55</v>
      </c>
      <c r="B56" t="s">
        <v>56</v>
      </c>
      <c r="C56" t="s">
        <v>214</v>
      </c>
      <c r="D56" s="79" t="s">
        <v>215</v>
      </c>
      <c r="E56" t="s">
        <v>216</v>
      </c>
      <c r="F56" s="76">
        <v>810000455</v>
      </c>
      <c r="G56" t="s">
        <v>61</v>
      </c>
      <c r="H56">
        <v>1</v>
      </c>
      <c r="I56" t="s">
        <v>58</v>
      </c>
      <c r="J56" t="s">
        <v>58</v>
      </c>
      <c r="K56">
        <v>1</v>
      </c>
      <c r="L56">
        <v>123</v>
      </c>
      <c r="M56" t="s">
        <v>58</v>
      </c>
      <c r="N56" t="s">
        <v>58</v>
      </c>
      <c r="O56" t="s">
        <v>58</v>
      </c>
      <c r="P56">
        <v>0</v>
      </c>
      <c r="Q56" t="s">
        <v>58</v>
      </c>
      <c r="R56">
        <v>44895</v>
      </c>
      <c r="S56">
        <v>94</v>
      </c>
      <c r="T56">
        <v>9</v>
      </c>
      <c r="U56">
        <v>10</v>
      </c>
      <c r="V56">
        <v>1687</v>
      </c>
      <c r="W56">
        <v>33426</v>
      </c>
      <c r="X56">
        <v>0</v>
      </c>
      <c r="Y56">
        <v>0</v>
      </c>
      <c r="Z56">
        <v>0</v>
      </c>
      <c r="AA56">
        <v>17</v>
      </c>
      <c r="AB56">
        <v>0</v>
      </c>
      <c r="AC56">
        <v>14266</v>
      </c>
      <c r="AD56">
        <v>77</v>
      </c>
      <c r="AE56">
        <v>3097</v>
      </c>
      <c r="AF56">
        <v>8</v>
      </c>
      <c r="AG56">
        <v>8</v>
      </c>
      <c r="AH56">
        <v>9</v>
      </c>
      <c r="AI56">
        <v>30283</v>
      </c>
      <c r="AJ56">
        <v>510</v>
      </c>
      <c r="AK56">
        <v>9</v>
      </c>
      <c r="AL56">
        <v>9080</v>
      </c>
      <c r="AM56">
        <v>105</v>
      </c>
      <c r="AN56">
        <v>2114</v>
      </c>
      <c r="AO56">
        <v>307</v>
      </c>
      <c r="AP56">
        <v>5139</v>
      </c>
      <c r="AQ56">
        <v>4217</v>
      </c>
      <c r="AR56" t="s">
        <v>58</v>
      </c>
      <c r="AS56">
        <v>13.71</v>
      </c>
      <c r="AT56" t="s">
        <v>58</v>
      </c>
      <c r="AU56">
        <v>1.18</v>
      </c>
      <c r="AV56" t="s">
        <v>58</v>
      </c>
      <c r="AW56" t="s">
        <v>58</v>
      </c>
      <c r="AX56" t="s">
        <v>58</v>
      </c>
      <c r="AY56">
        <v>334.17</v>
      </c>
      <c r="AZ56">
        <v>182.09</v>
      </c>
      <c r="BA56">
        <v>29.5</v>
      </c>
      <c r="BB56">
        <v>32.33</v>
      </c>
      <c r="BC56">
        <v>9.5</v>
      </c>
      <c r="BD56">
        <v>36.409999999999997</v>
      </c>
    </row>
    <row r="57" spans="1:56" ht="30" x14ac:dyDescent="0.25">
      <c r="A57" t="s">
        <v>55</v>
      </c>
      <c r="B57" t="s">
        <v>56</v>
      </c>
      <c r="C57" t="s">
        <v>217</v>
      </c>
      <c r="D57" s="79" t="s">
        <v>218</v>
      </c>
      <c r="E57" t="s">
        <v>217</v>
      </c>
      <c r="F57" s="76">
        <v>810100008</v>
      </c>
      <c r="G57" t="s">
        <v>61</v>
      </c>
      <c r="H57">
        <v>1</v>
      </c>
      <c r="I57" t="s">
        <v>58</v>
      </c>
      <c r="J57">
        <v>6</v>
      </c>
      <c r="K57">
        <v>1</v>
      </c>
      <c r="L57">
        <v>199</v>
      </c>
      <c r="M57">
        <v>0</v>
      </c>
      <c r="N57">
        <v>0</v>
      </c>
      <c r="O57">
        <v>0</v>
      </c>
      <c r="P57">
        <v>15</v>
      </c>
      <c r="Q57">
        <v>0</v>
      </c>
      <c r="R57">
        <v>78110</v>
      </c>
      <c r="S57">
        <v>151</v>
      </c>
      <c r="T57">
        <v>10</v>
      </c>
      <c r="U57">
        <v>0</v>
      </c>
      <c r="V57">
        <v>1416</v>
      </c>
      <c r="W57">
        <v>63844</v>
      </c>
      <c r="X57">
        <v>0</v>
      </c>
      <c r="Y57">
        <v>0</v>
      </c>
      <c r="Z57">
        <v>0</v>
      </c>
      <c r="AA57">
        <v>4098</v>
      </c>
      <c r="AB57">
        <v>0</v>
      </c>
      <c r="AC57">
        <v>18967</v>
      </c>
      <c r="AD57">
        <v>127</v>
      </c>
      <c r="AE57">
        <v>0</v>
      </c>
      <c r="AF57">
        <v>16</v>
      </c>
      <c r="AG57">
        <v>13</v>
      </c>
      <c r="AH57">
        <v>9</v>
      </c>
      <c r="AI57">
        <v>82766</v>
      </c>
      <c r="AJ57">
        <v>27539</v>
      </c>
      <c r="AK57">
        <v>17789</v>
      </c>
      <c r="AL57">
        <v>6185</v>
      </c>
      <c r="AM57">
        <v>1063</v>
      </c>
      <c r="AN57">
        <v>3837</v>
      </c>
      <c r="AO57">
        <v>17</v>
      </c>
      <c r="AP57">
        <v>11101</v>
      </c>
      <c r="AQ57">
        <v>9318</v>
      </c>
      <c r="AR57" t="s">
        <v>58</v>
      </c>
      <c r="AS57">
        <v>36.880000000000003</v>
      </c>
      <c r="AT57" t="s">
        <v>58</v>
      </c>
      <c r="AU57" t="s">
        <v>58</v>
      </c>
      <c r="AV57" t="s">
        <v>58</v>
      </c>
      <c r="AW57" t="s">
        <v>58</v>
      </c>
      <c r="AX57" t="s">
        <v>58</v>
      </c>
      <c r="AY57">
        <v>525.25</v>
      </c>
      <c r="AZ57">
        <v>316.91000000000003</v>
      </c>
      <c r="BA57">
        <v>81.430000000000007</v>
      </c>
      <c r="BB57">
        <v>39.53</v>
      </c>
      <c r="BC57">
        <v>14.39</v>
      </c>
      <c r="BD57">
        <v>42.65</v>
      </c>
    </row>
    <row r="58" spans="1:56" s="108" customFormat="1" x14ac:dyDescent="0.25">
      <c r="A58" s="108" t="s">
        <v>55</v>
      </c>
      <c r="B58" s="108" t="s">
        <v>56</v>
      </c>
      <c r="C58" s="108" t="s">
        <v>219</v>
      </c>
      <c r="D58" s="109" t="s">
        <v>220</v>
      </c>
      <c r="E58" s="108" t="s">
        <v>221</v>
      </c>
      <c r="F58" s="110">
        <v>820000016</v>
      </c>
      <c r="G58" s="108" t="s">
        <v>61</v>
      </c>
      <c r="H58" s="108">
        <v>1</v>
      </c>
      <c r="I58" s="108" t="s">
        <v>58</v>
      </c>
      <c r="J58" s="108" t="s">
        <v>58</v>
      </c>
      <c r="K58" s="108">
        <v>1</v>
      </c>
      <c r="L58" s="108">
        <f>PSYSAE2023OC!L160+PSYSAE2023OC!L165</f>
        <v>190</v>
      </c>
      <c r="M58" s="108">
        <f>PSYSAE2023OC!M160+PSYSAE2023OC!M165</f>
        <v>14</v>
      </c>
      <c r="N58" s="108">
        <f>PSYSAE2023OC!N160+PSYSAE2023OC!N165</f>
        <v>0</v>
      </c>
      <c r="O58" s="108">
        <f>PSYSAE2023OC!O160+PSYSAE2023OC!O165</f>
        <v>0</v>
      </c>
      <c r="P58" s="108">
        <f>PSYSAE2023OC!P160+PSYSAE2023OC!P165</f>
        <v>0</v>
      </c>
      <c r="Q58" s="108">
        <f>PSYSAE2023OC!Q160+PSYSAE2023OC!Q165</f>
        <v>10</v>
      </c>
      <c r="R58" s="108">
        <f>PSYSAE2023OC!R160+PSYSAE2023OC!R165</f>
        <v>61989</v>
      </c>
      <c r="S58" s="108">
        <f>PSYSAE2023OC!S160+PSYSAE2023OC!S165</f>
        <v>89</v>
      </c>
      <c r="T58" s="108">
        <f>PSYSAE2023OC!T160+PSYSAE2023OC!T165</f>
        <v>0</v>
      </c>
      <c r="U58" s="108">
        <f>PSYSAE2023OC!U160+PSYSAE2023OC!U165</f>
        <v>0</v>
      </c>
      <c r="V58" s="108">
        <f>PSYSAE2023OC!V160+PSYSAE2023OC!V165</f>
        <v>1103</v>
      </c>
      <c r="W58" s="108">
        <f>PSYSAE2023OC!W160+PSYSAE2023OC!W165</f>
        <v>54310</v>
      </c>
      <c r="X58" s="108">
        <f>PSYSAE2023OC!X160+PSYSAE2023OC!X165</f>
        <v>365</v>
      </c>
      <c r="Y58" s="108">
        <f>PSYSAE2023OC!Y160+PSYSAE2023OC!Y165</f>
        <v>0</v>
      </c>
      <c r="Z58" s="108">
        <f>PSYSAE2023OC!Z160+PSYSAE2023OC!Z165</f>
        <v>0</v>
      </c>
      <c r="AA58" s="108">
        <f>PSYSAE2023OC!AA160+PSYSAE2023OC!AA165</f>
        <v>0</v>
      </c>
      <c r="AB58" s="108">
        <f>PSYSAE2023OC!AB160+PSYSAE2023OC!AB165</f>
        <v>6073</v>
      </c>
      <c r="AC58" s="108">
        <f>PSYSAE2023OC!AC160+PSYSAE2023OC!AC165</f>
        <v>7152</v>
      </c>
      <c r="AD58" s="108">
        <f>PSYSAE2023OC!AD160+PSYSAE2023OC!AD165</f>
        <v>0</v>
      </c>
      <c r="AE58" s="108">
        <f>PSYSAE2023OC!AE160+PSYSAE2023OC!AE165</f>
        <v>0</v>
      </c>
      <c r="AF58" s="108">
        <f>PSYSAE2023OC!AF160+PSYSAE2023OC!AF165</f>
        <v>27</v>
      </c>
      <c r="AG58" s="108">
        <f>PSYSAE2023OC!AG160+PSYSAE2023OC!AG165</f>
        <v>6</v>
      </c>
      <c r="AH58" s="108">
        <f>PSYSAE2023OC!AH160+PSYSAE2023OC!AH165</f>
        <v>5</v>
      </c>
      <c r="AI58" s="108">
        <f>PSYSAE2023OC!AI160+PSYSAE2023OC!AI165</f>
        <v>64963</v>
      </c>
      <c r="AJ58" s="108">
        <f>PSYSAE2023OC!AJ160+PSYSAE2023OC!AJ165</f>
        <v>2207</v>
      </c>
      <c r="AK58" s="108">
        <f>PSYSAE2023OC!AK160+PSYSAE2023OC!AK165</f>
        <v>5493</v>
      </c>
      <c r="AL58" s="108">
        <f>PSYSAE2023OC!AL160+PSYSAE2023OC!AL165</f>
        <v>6698</v>
      </c>
      <c r="AM58" s="108">
        <f>PSYSAE2023OC!AM160+PSYSAE2023OC!AM165</f>
        <v>660</v>
      </c>
      <c r="AN58" s="108">
        <f>PSYSAE2023OC!AN160+PSYSAE2023OC!AN165</f>
        <v>1606</v>
      </c>
      <c r="AO58" s="108">
        <f>PSYSAE2023OC!AO160+PSYSAE2023OC!AO165</f>
        <v>49</v>
      </c>
      <c r="AP58" s="108">
        <f>PSYSAE2023OC!AP160+PSYSAE2023OC!AP165</f>
        <v>10172</v>
      </c>
      <c r="AQ58" s="108">
        <f>PSYSAE2023OC!AQ160+PSYSAE2023OC!AQ165</f>
        <v>9041</v>
      </c>
      <c r="AR58" s="108" t="s">
        <v>58</v>
      </c>
    </row>
    <row r="59" spans="1:56" ht="30" x14ac:dyDescent="0.25">
      <c r="A59" t="s">
        <v>55</v>
      </c>
      <c r="B59" t="s">
        <v>56</v>
      </c>
      <c r="C59" t="s">
        <v>222</v>
      </c>
      <c r="D59" s="79" t="s">
        <v>223</v>
      </c>
      <c r="E59" t="s">
        <v>84</v>
      </c>
      <c r="F59" s="76">
        <v>820003911</v>
      </c>
      <c r="G59" t="s">
        <v>61</v>
      </c>
      <c r="H59">
        <v>0</v>
      </c>
      <c r="I59" t="s">
        <v>58</v>
      </c>
      <c r="J59" t="s">
        <v>58</v>
      </c>
      <c r="K59">
        <v>0</v>
      </c>
      <c r="L59">
        <v>30</v>
      </c>
      <c r="M59" t="s">
        <v>58</v>
      </c>
      <c r="N59">
        <v>3</v>
      </c>
      <c r="O59" t="s">
        <v>58</v>
      </c>
      <c r="P59" t="s">
        <v>58</v>
      </c>
      <c r="Q59" t="s">
        <v>58</v>
      </c>
      <c r="R59">
        <v>8864</v>
      </c>
      <c r="S59">
        <v>3</v>
      </c>
      <c r="T59" t="s">
        <v>58</v>
      </c>
      <c r="U59" t="s">
        <v>58</v>
      </c>
      <c r="V59">
        <v>129</v>
      </c>
      <c r="W59">
        <v>8864</v>
      </c>
      <c r="X59" t="s">
        <v>58</v>
      </c>
      <c r="Y59">
        <v>101</v>
      </c>
      <c r="Z59" t="s">
        <v>58</v>
      </c>
      <c r="AA59" t="s">
        <v>58</v>
      </c>
      <c r="AB59" t="s">
        <v>58</v>
      </c>
      <c r="AC59">
        <v>310</v>
      </c>
      <c r="AD59" t="s">
        <v>58</v>
      </c>
      <c r="AE59" t="s">
        <v>58</v>
      </c>
      <c r="AF59" t="s">
        <v>58</v>
      </c>
      <c r="AG59" t="s">
        <v>58</v>
      </c>
      <c r="AH59" t="s">
        <v>58</v>
      </c>
      <c r="AI59" t="s">
        <v>58</v>
      </c>
      <c r="AJ59" t="s">
        <v>58</v>
      </c>
      <c r="AK59" t="s">
        <v>58</v>
      </c>
      <c r="AL59" t="s">
        <v>58</v>
      </c>
      <c r="AM59" t="s">
        <v>58</v>
      </c>
      <c r="AN59" t="s">
        <v>58</v>
      </c>
      <c r="AO59" t="s">
        <v>58</v>
      </c>
      <c r="AP59">
        <v>94</v>
      </c>
      <c r="AQ59" t="s">
        <v>58</v>
      </c>
      <c r="AR59" t="s">
        <v>58</v>
      </c>
      <c r="AS59">
        <v>0.64</v>
      </c>
      <c r="AT59" t="s">
        <v>58</v>
      </c>
      <c r="AU59" t="s">
        <v>58</v>
      </c>
      <c r="AV59" t="s">
        <v>58</v>
      </c>
      <c r="AW59" t="s">
        <v>58</v>
      </c>
      <c r="AX59" t="s">
        <v>58</v>
      </c>
      <c r="AY59">
        <v>31.82</v>
      </c>
      <c r="AZ59">
        <v>11.64</v>
      </c>
      <c r="BA59">
        <v>5.14</v>
      </c>
      <c r="BB59">
        <v>0.73</v>
      </c>
      <c r="BC59" t="s">
        <v>58</v>
      </c>
      <c r="BD59">
        <v>9.94</v>
      </c>
    </row>
    <row r="60" spans="1:56" s="108" customFormat="1" ht="30" x14ac:dyDescent="0.25">
      <c r="A60" s="108" t="s">
        <v>55</v>
      </c>
      <c r="B60" s="108" t="s">
        <v>56</v>
      </c>
      <c r="C60" s="108" t="s">
        <v>226</v>
      </c>
      <c r="D60" s="109" t="s">
        <v>227</v>
      </c>
      <c r="E60" s="108" t="s">
        <v>124</v>
      </c>
      <c r="F60" s="111">
        <v>820005908</v>
      </c>
      <c r="G60" s="108" t="s">
        <v>61</v>
      </c>
      <c r="H60" s="108">
        <v>1</v>
      </c>
      <c r="I60" s="108" t="s">
        <v>58</v>
      </c>
      <c r="J60" s="108" t="s">
        <v>58</v>
      </c>
      <c r="K60" s="108">
        <v>0</v>
      </c>
      <c r="L60" s="108" t="s">
        <v>58</v>
      </c>
      <c r="M60" s="108" t="s">
        <v>58</v>
      </c>
      <c r="N60" s="108" t="s">
        <v>58</v>
      </c>
      <c r="O60" s="108" t="s">
        <v>58</v>
      </c>
      <c r="P60" s="108" t="s">
        <v>58</v>
      </c>
      <c r="Q60" s="108" t="s">
        <v>58</v>
      </c>
      <c r="R60" s="108">
        <v>47085</v>
      </c>
      <c r="S60" s="112"/>
      <c r="T60" s="108" t="s">
        <v>58</v>
      </c>
      <c r="U60" s="108">
        <v>1</v>
      </c>
      <c r="V60" s="108" t="s">
        <v>58</v>
      </c>
      <c r="W60" s="108" t="s">
        <v>58</v>
      </c>
      <c r="X60" s="108" t="s">
        <v>58</v>
      </c>
      <c r="Y60" s="108" t="s">
        <v>58</v>
      </c>
      <c r="Z60" s="108" t="s">
        <v>58</v>
      </c>
      <c r="AA60" s="108" t="s">
        <v>58</v>
      </c>
      <c r="AB60" s="108" t="s">
        <v>58</v>
      </c>
      <c r="AC60" s="108" t="s">
        <v>58</v>
      </c>
      <c r="AD60" s="108" t="s">
        <v>58</v>
      </c>
      <c r="AE60" s="108">
        <v>210</v>
      </c>
      <c r="AF60" s="108">
        <v>2</v>
      </c>
      <c r="AG60" s="108" t="s">
        <v>58</v>
      </c>
      <c r="AH60" s="108" t="s">
        <v>58</v>
      </c>
      <c r="AI60" s="108">
        <v>3051</v>
      </c>
      <c r="AJ60" s="108" t="s">
        <v>58</v>
      </c>
      <c r="AK60" s="108" t="s">
        <v>58</v>
      </c>
      <c r="AL60" s="108" t="s">
        <v>58</v>
      </c>
      <c r="AM60" s="108" t="s">
        <v>58</v>
      </c>
      <c r="AN60" s="108" t="s">
        <v>58</v>
      </c>
      <c r="AO60" s="108" t="s">
        <v>58</v>
      </c>
      <c r="AP60" s="108">
        <v>156</v>
      </c>
      <c r="AQ60" s="108">
        <v>156</v>
      </c>
      <c r="AR60" s="108" t="s">
        <v>58</v>
      </c>
    </row>
    <row r="62" spans="1:56" x14ac:dyDescent="0.25">
      <c r="A62" s="108" t="s">
        <v>404</v>
      </c>
      <c r="B62" s="108"/>
      <c r="C62" s="108"/>
      <c r="D62" s="109"/>
    </row>
  </sheetData>
  <autoFilter ref="A1:BD60" xr:uid="{5A8D47D0-01E0-4332-B3A3-8D4D11CDB5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73414-2AFD-43EA-885C-4A0D35180113}">
  <sheetPr codeName="Feuil5"/>
  <dimension ref="A1:BN78"/>
  <sheetViews>
    <sheetView zoomScaleNormal="100" workbookViewId="0">
      <pane xSplit="3" ySplit="4" topLeftCell="AW58" activePane="bottomRight" state="frozen"/>
      <selection pane="topRight" activeCell="D1" sqref="D1"/>
      <selection pane="bottomLeft" activeCell="A5" sqref="A5"/>
      <selection pane="bottomRight" activeCell="BL71" sqref="BL71"/>
    </sheetView>
  </sheetViews>
  <sheetFormatPr baseColWidth="10" defaultRowHeight="15" x14ac:dyDescent="0.25"/>
  <cols>
    <col min="1" max="1" width="14.28515625" customWidth="1"/>
    <col min="2" max="2" width="24.42578125" customWidth="1"/>
    <col min="4" max="4" width="11.42578125" style="80"/>
    <col min="8" max="8" width="12.7109375" customWidth="1"/>
    <col min="32" max="32" width="12.140625" customWidth="1"/>
    <col min="59" max="59" width="11.42578125" style="116"/>
    <col min="63" max="63" width="13.5703125" bestFit="1" customWidth="1"/>
    <col min="64" max="64" width="14.28515625" bestFit="1" customWidth="1"/>
  </cols>
  <sheetData>
    <row r="1" spans="1:66" x14ac:dyDescent="0.25">
      <c r="AA1" s="142">
        <v>0.9</v>
      </c>
      <c r="AP1" s="142">
        <v>0.95</v>
      </c>
      <c r="BB1" s="98"/>
      <c r="BF1" s="209">
        <f>synthèse!K4</f>
        <v>0.9</v>
      </c>
    </row>
    <row r="2" spans="1:66" x14ac:dyDescent="0.25">
      <c r="I2" s="285" t="s">
        <v>402</v>
      </c>
      <c r="J2" s="286"/>
      <c r="K2" s="286"/>
      <c r="L2" s="286"/>
      <c r="M2" s="286"/>
      <c r="N2" s="286"/>
      <c r="O2" s="286"/>
      <c r="P2" s="286"/>
      <c r="Q2" s="286"/>
      <c r="R2" s="286"/>
      <c r="S2" s="286"/>
      <c r="T2" s="286"/>
      <c r="U2" s="286"/>
      <c r="V2" s="286"/>
      <c r="W2" s="286"/>
      <c r="X2" s="286"/>
      <c r="Y2" s="286"/>
      <c r="Z2" s="286"/>
      <c r="AA2" s="286"/>
      <c r="AB2" s="286"/>
      <c r="AC2" s="286"/>
      <c r="AD2" s="286"/>
      <c r="AE2" s="286"/>
      <c r="AF2" s="287"/>
      <c r="AG2" s="238" t="s">
        <v>406</v>
      </c>
      <c r="AH2" s="239"/>
      <c r="AI2" s="239"/>
      <c r="AJ2" s="239"/>
      <c r="AK2" s="239"/>
      <c r="AL2" s="239"/>
      <c r="AM2" s="239"/>
      <c r="AN2" s="239"/>
      <c r="AO2" s="239"/>
      <c r="AP2" s="239"/>
      <c r="AQ2" s="239"/>
      <c r="AR2" s="240"/>
      <c r="AS2" s="244" t="s">
        <v>408</v>
      </c>
      <c r="AT2" s="244"/>
      <c r="AU2" s="244"/>
      <c r="AV2" s="244"/>
      <c r="AW2" s="244"/>
      <c r="AX2" s="244"/>
      <c r="AY2" s="244"/>
      <c r="AZ2" s="244"/>
      <c r="BA2" s="244"/>
      <c r="BB2" s="244"/>
      <c r="BF2" s="211">
        <f>synthèse!K5</f>
        <v>0.22500000000000001</v>
      </c>
    </row>
    <row r="3" spans="1:66" ht="15" customHeight="1" x14ac:dyDescent="0.25">
      <c r="I3" s="235" t="s">
        <v>403</v>
      </c>
      <c r="J3" s="235"/>
      <c r="K3" s="235"/>
      <c r="L3" s="235"/>
      <c r="M3" s="235"/>
      <c r="N3" s="235"/>
      <c r="O3" s="237" t="s">
        <v>405</v>
      </c>
      <c r="P3" s="237"/>
      <c r="Q3" s="237"/>
      <c r="R3" s="237"/>
      <c r="S3" s="237"/>
      <c r="T3" s="237"/>
      <c r="U3" s="237"/>
      <c r="V3" s="237"/>
      <c r="W3" s="237"/>
      <c r="X3" s="237"/>
      <c r="Y3" s="237"/>
      <c r="Z3" s="237"/>
      <c r="AA3" s="246" t="s">
        <v>433</v>
      </c>
      <c r="AB3" s="246"/>
      <c r="AC3" s="246"/>
      <c r="AD3" s="246"/>
      <c r="AE3" s="246"/>
      <c r="AF3" s="246"/>
      <c r="AG3" s="236" t="s">
        <v>403</v>
      </c>
      <c r="AH3" s="236"/>
      <c r="AI3" s="236"/>
      <c r="AJ3" s="245" t="s">
        <v>407</v>
      </c>
      <c r="AK3" s="245"/>
      <c r="AL3" s="245"/>
      <c r="AM3" s="245"/>
      <c r="AN3" s="245"/>
      <c r="AO3" s="245"/>
      <c r="AP3" s="247" t="s">
        <v>433</v>
      </c>
      <c r="AQ3" s="247"/>
      <c r="AR3" s="247"/>
      <c r="AS3" s="235" t="s">
        <v>403</v>
      </c>
      <c r="AT3" s="235"/>
      <c r="AU3" s="235"/>
      <c r="AV3" s="237" t="s">
        <v>412</v>
      </c>
      <c r="AW3" s="237"/>
      <c r="AX3" s="237"/>
      <c r="AY3" s="237"/>
      <c r="AZ3" s="237"/>
      <c r="BA3" s="237"/>
      <c r="BB3" s="237"/>
    </row>
    <row r="4" spans="1:66" ht="75" x14ac:dyDescent="0.25">
      <c r="A4" s="81" t="s">
        <v>386</v>
      </c>
      <c r="B4" s="81" t="s">
        <v>3</v>
      </c>
      <c r="C4" s="81" t="s">
        <v>391</v>
      </c>
      <c r="D4" s="82" t="s">
        <v>437</v>
      </c>
      <c r="E4" s="82" t="s">
        <v>388</v>
      </c>
      <c r="F4" s="82" t="s">
        <v>389</v>
      </c>
      <c r="G4" s="82" t="s">
        <v>390</v>
      </c>
      <c r="H4" s="82" t="s">
        <v>392</v>
      </c>
      <c r="I4" s="113" t="s">
        <v>452</v>
      </c>
      <c r="J4" s="113" t="s">
        <v>394</v>
      </c>
      <c r="K4" s="113" t="s">
        <v>395</v>
      </c>
      <c r="L4" s="113" t="s">
        <v>396</v>
      </c>
      <c r="M4" s="113" t="s">
        <v>397</v>
      </c>
      <c r="N4" s="113" t="s">
        <v>398</v>
      </c>
      <c r="O4" s="113" t="s">
        <v>419</v>
      </c>
      <c r="P4" s="113" t="s">
        <v>394</v>
      </c>
      <c r="Q4" s="113" t="s">
        <v>395</v>
      </c>
      <c r="R4" s="113" t="s">
        <v>396</v>
      </c>
      <c r="S4" s="113" t="s">
        <v>397</v>
      </c>
      <c r="T4" s="113" t="s">
        <v>398</v>
      </c>
      <c r="U4" s="113" t="s">
        <v>417</v>
      </c>
      <c r="V4" s="113" t="s">
        <v>420</v>
      </c>
      <c r="W4" s="113" t="s">
        <v>421</v>
      </c>
      <c r="X4" s="113" t="s">
        <v>422</v>
      </c>
      <c r="Y4" s="113" t="s">
        <v>423</v>
      </c>
      <c r="Z4" s="113" t="s">
        <v>424</v>
      </c>
      <c r="AA4" s="113" t="s">
        <v>453</v>
      </c>
      <c r="AB4" s="113" t="s">
        <v>428</v>
      </c>
      <c r="AC4" s="113" t="s">
        <v>429</v>
      </c>
      <c r="AD4" s="113" t="s">
        <v>430</v>
      </c>
      <c r="AE4" s="113" t="s">
        <v>431</v>
      </c>
      <c r="AF4" s="113" t="s">
        <v>432</v>
      </c>
      <c r="AG4" s="82" t="s">
        <v>399</v>
      </c>
      <c r="AH4" s="82" t="s">
        <v>400</v>
      </c>
      <c r="AI4" s="82" t="s">
        <v>401</v>
      </c>
      <c r="AJ4" s="82" t="s">
        <v>399</v>
      </c>
      <c r="AK4" s="82" t="s">
        <v>400</v>
      </c>
      <c r="AL4" s="82" t="s">
        <v>401</v>
      </c>
      <c r="AM4" s="82" t="s">
        <v>418</v>
      </c>
      <c r="AN4" s="82" t="s">
        <v>425</v>
      </c>
      <c r="AO4" s="82" t="s">
        <v>426</v>
      </c>
      <c r="AP4" s="82" t="s">
        <v>434</v>
      </c>
      <c r="AQ4" s="82" t="s">
        <v>435</v>
      </c>
      <c r="AR4" s="82" t="s">
        <v>436</v>
      </c>
      <c r="AS4" s="113" t="s">
        <v>409</v>
      </c>
      <c r="AT4" s="113" t="s">
        <v>410</v>
      </c>
      <c r="AU4" s="113" t="s">
        <v>411</v>
      </c>
      <c r="AV4" s="113" t="s">
        <v>409</v>
      </c>
      <c r="AW4" s="113" t="s">
        <v>410</v>
      </c>
      <c r="AX4" s="113" t="s">
        <v>411</v>
      </c>
      <c r="AY4" s="113" t="s">
        <v>413</v>
      </c>
      <c r="AZ4" s="113" t="s">
        <v>414</v>
      </c>
      <c r="BA4" s="113" t="s">
        <v>415</v>
      </c>
      <c r="BB4" s="113" t="s">
        <v>416</v>
      </c>
      <c r="BC4" s="113" t="s">
        <v>496</v>
      </c>
      <c r="BD4" s="113" t="s">
        <v>497</v>
      </c>
      <c r="BE4" s="267" t="s">
        <v>504</v>
      </c>
      <c r="BF4" s="82" t="s">
        <v>427</v>
      </c>
      <c r="BG4" s="260" t="s">
        <v>499</v>
      </c>
      <c r="BH4" s="259" t="s">
        <v>502</v>
      </c>
      <c r="BI4" s="259" t="s">
        <v>503</v>
      </c>
      <c r="BJ4" s="259" t="s">
        <v>505</v>
      </c>
      <c r="BK4" s="259" t="s">
        <v>506</v>
      </c>
      <c r="BL4" s="271" t="s">
        <v>507</v>
      </c>
      <c r="BM4" s="259" t="s">
        <v>509</v>
      </c>
      <c r="BN4" s="259" t="s">
        <v>510</v>
      </c>
    </row>
    <row r="5" spans="1:66" x14ac:dyDescent="0.25">
      <c r="A5" s="76">
        <v>90781816</v>
      </c>
      <c r="B5" s="75" t="str">
        <f>VLOOKUP(base!A5,scansanté2024!$B$12:$L$69,2,FALSE)</f>
        <v>CH ARIEGE COUSERANS</v>
      </c>
      <c r="C5" s="75" t="str">
        <f>VLOOKUP(base!A5,dotpop24!$B$8:$U$67,3,FALSE)</f>
        <v>EPS</v>
      </c>
      <c r="D5" s="61">
        <f>VLOOKUP(base!A5,scansanté2024!$B$12:$L$69,4,FALSE)</f>
        <v>37837</v>
      </c>
      <c r="E5" s="118">
        <f>VLOOKUP(base!A5,scansanté2024!$B$12:$L$69,7,FALSE)</f>
        <v>1072</v>
      </c>
      <c r="F5" s="118">
        <f>VLOOKUP(base!A5,scansanté2024!$B$12:$L$69,8,FALSE)</f>
        <v>70604</v>
      </c>
      <c r="G5" s="118">
        <f>VLOOKUP(base!A5,scansanté2024!$B$12:$L$69,11,FALSE)</f>
        <v>6439</v>
      </c>
      <c r="H5" s="118">
        <f>VLOOKUP(base!A5,dotpop24!$B$8:$U$67,20,FALSE)</f>
        <v>22874718</v>
      </c>
      <c r="I5" s="117">
        <f>VLOOKUP(base!A5,PSYSAE2023OCTOT!$F$2:$AQ$60,7,FALSE)</f>
        <v>82</v>
      </c>
      <c r="J5" s="117">
        <f>VLOOKUP(base!A5,PSYSAE2023OCTOT!$F$2:$AQ$60,8,FALSE)</f>
        <v>19</v>
      </c>
      <c r="K5" s="117">
        <v>0</v>
      </c>
      <c r="L5" s="117">
        <v>0</v>
      </c>
      <c r="M5" s="117">
        <v>0</v>
      </c>
      <c r="N5" s="117">
        <v>0</v>
      </c>
      <c r="O5" s="117">
        <f>VLOOKUP(base!A5,PSYSAE2023OCTOT!$F$2:$AQ$60,18,FALSE)</f>
        <v>26731</v>
      </c>
      <c r="P5" s="117">
        <f>VLOOKUP(base!A5,PSYSAE2023OCTOT!$F$2:$AQ$60,19,FALSE)</f>
        <v>2471</v>
      </c>
      <c r="Q5" s="117">
        <v>0</v>
      </c>
      <c r="R5" s="117">
        <v>0</v>
      </c>
      <c r="S5" s="117">
        <v>0</v>
      </c>
      <c r="T5" s="117">
        <v>0</v>
      </c>
      <c r="U5" s="114">
        <f>O5/(I5*365)</f>
        <v>0.89311727363848981</v>
      </c>
      <c r="V5" s="114">
        <f>P5/(J5*365)</f>
        <v>0.35630857966834895</v>
      </c>
      <c r="W5" s="114">
        <v>0</v>
      </c>
      <c r="X5" s="114">
        <v>0</v>
      </c>
      <c r="Y5" s="114">
        <v>0</v>
      </c>
      <c r="Z5" s="114">
        <v>0</v>
      </c>
      <c r="AA5" s="115">
        <f>IFERROR(MAX(0, ((I5*365*$AA$1 - I5*365*U5) / 365)), 0)</f>
        <v>0.56438356164383563</v>
      </c>
      <c r="AB5" s="115">
        <f t="shared" ref="AB5:AF20" si="0">IFERROR(MAX(0, ((J5*365*$AA$1 - J5*365*V5) / 365)), 0)</f>
        <v>10.330136986301369</v>
      </c>
      <c r="AC5" s="115">
        <f t="shared" si="0"/>
        <v>0</v>
      </c>
      <c r="AD5" s="115">
        <f t="shared" si="0"/>
        <v>0</v>
      </c>
      <c r="AE5" s="115">
        <f t="shared" si="0"/>
        <v>0</v>
      </c>
      <c r="AF5" s="115">
        <f t="shared" si="0"/>
        <v>0</v>
      </c>
      <c r="AG5" s="61">
        <f>VLOOKUP(base!A5,PSYSAE2023OCTOT!$F$2:$AQ$60,14,FALSE)</f>
        <v>50</v>
      </c>
      <c r="AH5" s="61">
        <f>VLOOKUP(base!A5,PSYSAE2023OCTOT!$F$2:$AQ$60,15,FALSE)</f>
        <v>5</v>
      </c>
      <c r="AI5" s="61">
        <v>0</v>
      </c>
      <c r="AJ5" s="61">
        <f>VLOOKUP(base!A5,PSYSAE2023OCTOT!$F$2:$AQ$60,24,FALSE)</f>
        <v>5673</v>
      </c>
      <c r="AK5" s="61">
        <f>VLOOKUP(base!A5,PSYSAE2023OCTOT!$F$2:$AQ$60,25,FALSE)</f>
        <v>0</v>
      </c>
      <c r="AL5" s="61">
        <v>0</v>
      </c>
      <c r="AM5" s="105">
        <f>(AJ5/(AG5*365))</f>
        <v>0.31084931506849317</v>
      </c>
      <c r="AN5" s="105">
        <f>(AK5/(AH5*365))</f>
        <v>0</v>
      </c>
      <c r="AO5" s="105">
        <v>0</v>
      </c>
      <c r="AP5" s="61">
        <f>IFERROR(MAX(0, ((AG5*365*$AP$1 - AG5*365*AM5) / 365)), 0)</f>
        <v>31.957534246575342</v>
      </c>
      <c r="AQ5" s="61">
        <f t="shared" ref="AQ5:AR20" si="1">IFERROR(MAX(0, ((AH5*365*$AP$1 - AH5*365*AN5) / 365)), 0)</f>
        <v>4.75</v>
      </c>
      <c r="AR5" s="61">
        <f t="shared" si="1"/>
        <v>0</v>
      </c>
      <c r="AS5" s="117">
        <f>VLOOKUP(base!A5,PSYSAE2023OCTOT!$F$2:$AQ$60,27,FALSE)</f>
        <v>7</v>
      </c>
      <c r="AT5" s="117">
        <f>VLOOKUP(base!A5,PSYSAE2023OCTOT!$F$2:$AQ$60,28,FALSE)</f>
        <v>2</v>
      </c>
      <c r="AU5" s="117">
        <f>VLOOKUP(base!A5,PSYSAE2023OCTOT!$F$2:$AQ$60,29,FALSE)</f>
        <v>3</v>
      </c>
      <c r="AV5" s="117">
        <f>VLOOKUP(base!A5,PSYSAE2023OCTOT!$F$2:$AQ$60,30,FALSE)</f>
        <v>45809</v>
      </c>
      <c r="AW5" s="117">
        <f>VLOOKUP(base!A5,PSYSAE2023OCTOT!$F$2:$AQ$60,31,FALSE)</f>
        <v>1012</v>
      </c>
      <c r="AX5" s="117">
        <f>VLOOKUP(base!A5,PSYSAE2023OCTOT!$F$2:$AQ$60,32,FALSE)</f>
        <v>2803</v>
      </c>
      <c r="AY5" s="117">
        <f>VLOOKUP(base!A5,PSYSAE2023OCTOT!$F$2:$AQ$60,33,FALSE)</f>
        <v>3829</v>
      </c>
      <c r="AZ5" s="117">
        <f>VLOOKUP(base!A5,PSYSAE2023OCTOT!$F$2:$AQ$60,34,FALSE)</f>
        <v>41</v>
      </c>
      <c r="BA5" s="117">
        <f>VLOOKUP(base!A5,PSYSAE2023OCTOT!$F$2:$AQ$60,35,FALSE)</f>
        <v>5327</v>
      </c>
      <c r="BB5" s="117">
        <f>VLOOKUP(base!A5,PSYSAE2023OCTOT!$F$2:$AQ$60,36,FALSE)</f>
        <v>11</v>
      </c>
      <c r="BC5" s="223">
        <f>PSYSAE2023OCTOT!AP2</f>
        <v>6216</v>
      </c>
      <c r="BD5" s="223">
        <f>PSYSAE2023OCTOT!AQ2</f>
        <v>5512</v>
      </c>
      <c r="BE5" s="268">
        <f>BC5-BD5</f>
        <v>704</v>
      </c>
      <c r="BF5" s="61">
        <f>H5/((I5+J5+K5+L5+M5+N5)+($BF$1*(AG5+AH5+AI5))+($BF$2*(AS5+AT5+AU5)))</f>
        <v>149312.78067885118</v>
      </c>
      <c r="BG5" s="124">
        <f>$BF$1*BF5</f>
        <v>134381.50261096607</v>
      </c>
      <c r="BH5" s="124">
        <f>(AA5+AB5+AC5+AD5+AE5+AF5)*BF5</f>
        <v>1626691.1571765798</v>
      </c>
      <c r="BI5" s="116">
        <f>(AP5+AQ5+AR5)*BG5</f>
        <v>4932813.6091982909</v>
      </c>
      <c r="BJ5" s="116">
        <f>H5-BH5-BI5</f>
        <v>16315213.233625129</v>
      </c>
      <c r="BK5" s="105">
        <f>BJ5/H5</f>
        <v>0.71324215816016301</v>
      </c>
      <c r="BL5" s="105">
        <f>1-BK5</f>
        <v>0.28675784183983699</v>
      </c>
      <c r="BM5" s="272">
        <f>H5/BE5</f>
        <v>32492.497159090908</v>
      </c>
      <c r="BN5" s="116">
        <f>H5/(BE5+($BF$2*BD5))</f>
        <v>11765.619792202448</v>
      </c>
    </row>
    <row r="6" spans="1:66" x14ac:dyDescent="0.25">
      <c r="A6" s="76">
        <v>110780137</v>
      </c>
      <c r="B6" s="75" t="str">
        <f>VLOOKUP(base!A6,scansanté2024!$B$12:$L$69,2,FALSE)</f>
        <v>CH NARBONNE</v>
      </c>
      <c r="C6" s="75" t="str">
        <f>VLOOKUP(base!A6,dotpop24!$B$8:$U$67,3,FALSE)</f>
        <v>EPS</v>
      </c>
      <c r="D6" s="61">
        <f>VLOOKUP(base!A6,scansanté2024!$B$12:$L$69,4,FALSE)</f>
        <v>17071</v>
      </c>
      <c r="E6" s="118">
        <f>VLOOKUP(base!A6,scansanté2024!$B$12:$L$69,7,FALSE)</f>
        <v>521</v>
      </c>
      <c r="F6" s="118">
        <f>VLOOKUP(base!A6,scansanté2024!$B$12:$L$69,8,FALSE)</f>
        <v>34655</v>
      </c>
      <c r="G6" s="118">
        <f>VLOOKUP(base!A6,scansanté2024!$B$12:$L$69,11,FALSE)</f>
        <v>3328</v>
      </c>
      <c r="H6" s="118">
        <f>VLOOKUP(base!A6,dotpop24!$B$8:$U$67,20,FALSE)</f>
        <v>8184775</v>
      </c>
      <c r="I6" s="117">
        <f>VLOOKUP(base!A6,PSYSAE2023OCTOT!$F$2:$AQ$60,7,FALSE)</f>
        <v>49</v>
      </c>
      <c r="J6" s="117">
        <f>VLOOKUP(base!A6,PSYSAE2023OCTOT!$F$2:$AQ$60,8,FALSE)</f>
        <v>1</v>
      </c>
      <c r="K6" s="117">
        <f>VLOOKUP(base!A6,PSYSAE2023OCTOT!$F$2:$AQ$60,9,FALSE)</f>
        <v>5</v>
      </c>
      <c r="L6" s="117">
        <f>VLOOKUP(base!A6,PSYSAE2023OCTOT!$F$2:$AQ$60,10,FALSE)</f>
        <v>0</v>
      </c>
      <c r="M6" s="117">
        <f>VLOOKUP(base!A6,PSYSAE2023OCTOT!$F$2:$AQ$60,11,FALSE)</f>
        <v>0</v>
      </c>
      <c r="N6" s="117">
        <f>VLOOKUP(base!A6,PSYSAE2023OCTOT!$F$2:$AQ$60,12,FALSE)</f>
        <v>0</v>
      </c>
      <c r="O6" s="117">
        <f>VLOOKUP(base!A6,PSYSAE2023OCTOT!$F$2:$AQ$60,18,FALSE)</f>
        <v>10632</v>
      </c>
      <c r="P6" s="117">
        <f>VLOOKUP(base!A6,PSYSAE2023OCTOT!$F$2:$AQ$60,19,FALSE)</f>
        <v>333</v>
      </c>
      <c r="Q6" s="117">
        <f>VLOOKUP(base!A6,PSYSAE2023OCTOT!$F$2:$AQ$60,20,FALSE)</f>
        <v>1221</v>
      </c>
      <c r="R6" s="117">
        <f>VLOOKUP(base!A6,PSYSAE2023OCTOT!$F$2:$AQ$60,21,FALSE)</f>
        <v>0</v>
      </c>
      <c r="S6" s="117">
        <f>VLOOKUP(base!A6,PSYSAE2023OCTOT!$F$2:$AQ$60,22,FALSE)</f>
        <v>0</v>
      </c>
      <c r="T6" s="117">
        <f>VLOOKUP(base!A6,PSYSAE2023OCTOT!$F$2:$AQ$60,23,FALSE)</f>
        <v>0</v>
      </c>
      <c r="U6" s="114">
        <f t="shared" ref="U6:U63" si="2">O6/(I6*365)</f>
        <v>0.59446463516913617</v>
      </c>
      <c r="V6" s="114">
        <f t="shared" ref="V6:V62" si="3">P6/(J6*365)</f>
        <v>0.9123287671232877</v>
      </c>
      <c r="W6" s="114">
        <f t="shared" ref="W6:Z63" si="4">Q6/(K6*365)</f>
        <v>0.66904109589041094</v>
      </c>
      <c r="X6" s="114">
        <v>0</v>
      </c>
      <c r="Y6" s="114">
        <v>0</v>
      </c>
      <c r="Z6" s="114">
        <v>0</v>
      </c>
      <c r="AA6" s="115">
        <f t="shared" ref="AA6:AF64" si="5">IFERROR(MAX(0, ((I6*365*$AA$1 - I6*365*U6) / 365)), 0)</f>
        <v>14.971232876712328</v>
      </c>
      <c r="AB6" s="115">
        <f t="shared" si="0"/>
        <v>0</v>
      </c>
      <c r="AC6" s="115">
        <f t="shared" si="0"/>
        <v>1.1547945205479453</v>
      </c>
      <c r="AD6" s="115">
        <f t="shared" si="0"/>
        <v>0</v>
      </c>
      <c r="AE6" s="115">
        <f t="shared" si="0"/>
        <v>0</v>
      </c>
      <c r="AF6" s="115">
        <f t="shared" si="0"/>
        <v>0</v>
      </c>
      <c r="AG6" s="61">
        <f>VLOOKUP(base!A6,PSYSAE2023OCTOT!$F$2:$AQ$60,14,FALSE)</f>
        <v>38</v>
      </c>
      <c r="AH6" s="61">
        <f>VLOOKUP(base!A6,PSYSAE2023OCTOT!$F$2:$AQ$60,15,FALSE)</f>
        <v>0</v>
      </c>
      <c r="AI6" s="61">
        <f>VLOOKUP(base!A6,PSYSAE2023OCTOT!$F$2:$AQ$60,16,FALSE)</f>
        <v>0</v>
      </c>
      <c r="AJ6" s="61">
        <f>VLOOKUP(base!A6,PSYSAE2023OCTOT!$F$2:$AQ$60,24,FALSE)</f>
        <v>6417</v>
      </c>
      <c r="AK6" s="61">
        <f>VLOOKUP(base!A6,PSYSAE2023OCTOT!$F$2:$AQ$60,25,FALSE)</f>
        <v>0</v>
      </c>
      <c r="AL6" s="61">
        <f>VLOOKUP(base!A6,PSYSAE2023OCTOT!$F$2:$AQ$60,26,FALSE)</f>
        <v>0</v>
      </c>
      <c r="AM6" s="105">
        <f t="shared" ref="AM6:AM63" si="6">(AJ6/(AG6*365))</f>
        <v>0.4626532083633742</v>
      </c>
      <c r="AN6" s="105">
        <v>0</v>
      </c>
      <c r="AO6" s="105">
        <v>0</v>
      </c>
      <c r="AP6" s="61">
        <f t="shared" ref="AP6:AR64" si="7">IFERROR(MAX(0, ((AG6*365*$AP$1 - AG6*365*AM6) / 365)), 0)</f>
        <v>18.519178082191782</v>
      </c>
      <c r="AQ6" s="61">
        <f t="shared" si="1"/>
        <v>0</v>
      </c>
      <c r="AR6" s="61">
        <f t="shared" si="1"/>
        <v>0</v>
      </c>
      <c r="AS6" s="117">
        <f>VLOOKUP(base!A6,PSYSAE2023OCTOT!$F$2:$AQ$60,27,FALSE)</f>
        <v>4</v>
      </c>
      <c r="AT6" s="117">
        <v>0</v>
      </c>
      <c r="AU6" s="117">
        <v>0</v>
      </c>
      <c r="AV6" s="117">
        <f>VLOOKUP(base!A6,PSYSAE2023OCTOT!$F$2:$AQ$60,30,FALSE)</f>
        <v>23597</v>
      </c>
      <c r="AW6" s="117">
        <v>0</v>
      </c>
      <c r="AX6" s="117">
        <v>0</v>
      </c>
      <c r="AY6" s="117">
        <f>VLOOKUP(base!A6,PSYSAE2023OCTOT!$F$2:$AQ$60,33,FALSE)</f>
        <v>625</v>
      </c>
      <c r="AZ6" s="117">
        <f>VLOOKUP(base!A6,PSYSAE2023OCTOT!$F$2:$AQ$60,34,FALSE)</f>
        <v>44</v>
      </c>
      <c r="BA6" s="117">
        <f>VLOOKUP(base!A6,PSYSAE2023OCTOT!$F$2:$AQ$60,35,FALSE)</f>
        <v>8871</v>
      </c>
      <c r="BB6" s="117">
        <f>VLOOKUP(base!A6,PSYSAE2023OCTOT!$F$2:$AQ$60,36,FALSE)</f>
        <v>57</v>
      </c>
      <c r="BC6" s="223">
        <f>PSYSAE2023OCTOT!AP3</f>
        <v>3439</v>
      </c>
      <c r="BD6" s="223">
        <f>PSYSAE2023OCTOT!AQ3</f>
        <v>3013</v>
      </c>
      <c r="BE6" s="268">
        <f t="shared" ref="BE6:BE64" si="8">BC6-BD6</f>
        <v>426</v>
      </c>
      <c r="BF6" s="61">
        <f>H6/((I6+J6+K6+L6+M6+N6)+($BF$1*(AG6+AH6+AI6))+($BF$2*(AS6+AT6+AU6)))</f>
        <v>90841.009988901205</v>
      </c>
      <c r="BG6" s="124">
        <f>$BF$1*BF6</f>
        <v>81756.908990011085</v>
      </c>
      <c r="BH6" s="124">
        <f t="shared" ref="BH6:BH64" si="9">(AA6+AB6+AC6+AD6+AE6+AF6)*BF6</f>
        <v>1464904.615875815</v>
      </c>
      <c r="BI6" s="116">
        <f t="shared" ref="BI6:BI64" si="10">(AP6+AQ6+AR6)*BG6</f>
        <v>1514070.7570355616</v>
      </c>
      <c r="BJ6" s="116">
        <f t="shared" ref="BJ6:BJ64" si="11">H6-BH6-BI6</f>
        <v>5205799.6270886231</v>
      </c>
      <c r="BK6" s="105">
        <f t="shared" ref="BK6:BK64" si="12">BJ6/H6</f>
        <v>0.63603454304957963</v>
      </c>
      <c r="BL6" s="105">
        <f t="shared" ref="BL6:BL64" si="13">1-BK6</f>
        <v>0.36396545695042037</v>
      </c>
      <c r="BM6" s="272">
        <f t="shared" ref="BM6:BM64" si="14">H6/BE6</f>
        <v>19213.086854460093</v>
      </c>
      <c r="BN6" s="116">
        <f t="shared" ref="BN6:BN63" si="15">H6/(BE6+($BF$2*BD6))</f>
        <v>7414.2491564191396</v>
      </c>
    </row>
    <row r="7" spans="1:66" x14ac:dyDescent="0.25">
      <c r="A7" s="76">
        <v>110780152</v>
      </c>
      <c r="B7" s="75" t="str">
        <f>VLOOKUP(base!A7,scansanté2024!$B$12:$L$69,2,FALSE)</f>
        <v>CLINIQUE DE MIREMONT</v>
      </c>
      <c r="C7" s="75" t="str">
        <f>VLOOKUP(base!A7,dotpop24!$B$8:$U$67,3,FALSE)</f>
        <v>EBL</v>
      </c>
      <c r="D7" s="61">
        <f>VLOOKUP(base!A7,scansanté2024!$B$12:$L$69,4,FALSE)</f>
        <v>26217</v>
      </c>
      <c r="E7" s="118">
        <f>VLOOKUP(base!A7,scansanté2024!$B$12:$L$69,7,FALSE)</f>
        <v>480</v>
      </c>
      <c r="F7" s="118">
        <f>VLOOKUP(base!A7,scansanté2024!$B$12:$L$69,8,FALSE)</f>
        <v>0</v>
      </c>
      <c r="G7" s="118">
        <f>VLOOKUP(base!A7,scansanté2024!$B$12:$L$69,11,FALSE)</f>
        <v>375</v>
      </c>
      <c r="H7" s="118">
        <f>VLOOKUP(base!A7,dotpop24!$B$8:$U$67,20,FALSE)</f>
        <v>452803</v>
      </c>
      <c r="I7" s="117">
        <f>VLOOKUP(base!A7,PSYSAE2023OCTOT!$F$2:$AQ$60,7,FALSE)</f>
        <v>74</v>
      </c>
      <c r="J7" s="117">
        <v>0</v>
      </c>
      <c r="K7" s="117">
        <v>0</v>
      </c>
      <c r="L7" s="117">
        <v>0</v>
      </c>
      <c r="M7" s="117">
        <v>0</v>
      </c>
      <c r="N7" s="117">
        <v>0</v>
      </c>
      <c r="O7" s="117">
        <f>VLOOKUP(base!A7,PSYSAE2023OCTOT!$F$2:$AQ$60,18,FALSE)</f>
        <v>26510</v>
      </c>
      <c r="P7" s="117">
        <v>0</v>
      </c>
      <c r="Q7" s="117">
        <v>0</v>
      </c>
      <c r="R7" s="117">
        <v>0</v>
      </c>
      <c r="S7" s="117">
        <v>0</v>
      </c>
      <c r="T7" s="117">
        <v>0</v>
      </c>
      <c r="U7" s="114">
        <f>O7/(I7*365)</f>
        <v>0.98148833765272125</v>
      </c>
      <c r="V7" s="114">
        <v>0</v>
      </c>
      <c r="W7" s="114">
        <v>0</v>
      </c>
      <c r="X7" s="114">
        <v>0</v>
      </c>
      <c r="Y7" s="114">
        <v>0</v>
      </c>
      <c r="Z7" s="114">
        <v>0</v>
      </c>
      <c r="AA7" s="115">
        <f t="shared" si="5"/>
        <v>0</v>
      </c>
      <c r="AB7" s="115">
        <f t="shared" si="0"/>
        <v>0</v>
      </c>
      <c r="AC7" s="115">
        <f t="shared" si="0"/>
        <v>0</v>
      </c>
      <c r="AD7" s="115">
        <f t="shared" si="0"/>
        <v>0</v>
      </c>
      <c r="AE7" s="115">
        <f t="shared" si="0"/>
        <v>0</v>
      </c>
      <c r="AF7" s="115">
        <f t="shared" si="0"/>
        <v>0</v>
      </c>
      <c r="AG7" s="61">
        <v>0</v>
      </c>
      <c r="AH7" s="61">
        <v>0</v>
      </c>
      <c r="AI7" s="61">
        <v>0</v>
      </c>
      <c r="AJ7" s="61">
        <v>0</v>
      </c>
      <c r="AK7" s="61">
        <v>0</v>
      </c>
      <c r="AL7" s="61">
        <v>0</v>
      </c>
      <c r="AM7" s="105">
        <v>0</v>
      </c>
      <c r="AN7" s="105">
        <v>0</v>
      </c>
      <c r="AO7" s="105">
        <v>0</v>
      </c>
      <c r="AP7" s="61">
        <f t="shared" si="7"/>
        <v>0</v>
      </c>
      <c r="AQ7" s="61">
        <f t="shared" si="1"/>
        <v>0</v>
      </c>
      <c r="AR7" s="61">
        <f t="shared" si="1"/>
        <v>0</v>
      </c>
      <c r="AS7" s="117">
        <v>0</v>
      </c>
      <c r="AT7" s="117">
        <v>0</v>
      </c>
      <c r="AU7" s="117">
        <v>0</v>
      </c>
      <c r="AV7" s="117">
        <v>0</v>
      </c>
      <c r="AW7" s="117">
        <v>0</v>
      </c>
      <c r="AX7" s="117">
        <v>0</v>
      </c>
      <c r="AY7" s="117">
        <v>0</v>
      </c>
      <c r="AZ7" s="117">
        <v>0</v>
      </c>
      <c r="BA7" s="117">
        <v>0</v>
      </c>
      <c r="BB7" s="117">
        <v>0</v>
      </c>
      <c r="BC7" s="223">
        <f>PSYSAE2023OCTOT!AP4</f>
        <v>379</v>
      </c>
      <c r="BD7" s="223"/>
      <c r="BE7" s="268">
        <f t="shared" si="8"/>
        <v>379</v>
      </c>
      <c r="BF7" s="61">
        <f>H7/((I7+J7+K7+L7+M7+N7)+($BF$1*(AG7+AH7+AI7))+($BF$2*(AS7+AT7+AU7)))</f>
        <v>6118.9594594594591</v>
      </c>
      <c r="BG7" s="124">
        <f>$BF$1*BF7</f>
        <v>5507.0635135135135</v>
      </c>
      <c r="BH7" s="124">
        <f t="shared" si="9"/>
        <v>0</v>
      </c>
      <c r="BI7" s="116">
        <f t="shared" si="10"/>
        <v>0</v>
      </c>
      <c r="BJ7" s="116">
        <f t="shared" si="11"/>
        <v>452803</v>
      </c>
      <c r="BK7" s="105">
        <f t="shared" si="12"/>
        <v>1</v>
      </c>
      <c r="BL7" s="105">
        <f t="shared" si="13"/>
        <v>0</v>
      </c>
      <c r="BM7" s="272">
        <f t="shared" si="14"/>
        <v>1194.7308707124012</v>
      </c>
      <c r="BN7" s="116">
        <f t="shared" si="15"/>
        <v>1194.7308707124012</v>
      </c>
    </row>
    <row r="8" spans="1:66" x14ac:dyDescent="0.25">
      <c r="A8" s="76">
        <v>110786324</v>
      </c>
      <c r="B8" s="75" t="str">
        <f>VLOOKUP(base!A8,scansanté2024!$B$12:$L$69,2,FALSE)</f>
        <v>A.S.M.</v>
      </c>
      <c r="C8" s="75" t="str">
        <f>VLOOKUP(base!A8,dotpop24!$B$8:$U$67,3,FALSE)</f>
        <v>EBNL</v>
      </c>
      <c r="D8" s="61">
        <f>VLOOKUP(base!A8,scansanté2024!$B$12:$L$69,4,FALSE)</f>
        <v>68064</v>
      </c>
      <c r="E8" s="118">
        <f>VLOOKUP(base!A8,scansanté2024!$B$12:$L$69,7,FALSE)</f>
        <v>2529</v>
      </c>
      <c r="F8" s="118">
        <f>VLOOKUP(base!A8,scansanté2024!$B$12:$L$69,8,FALSE)</f>
        <v>111585</v>
      </c>
      <c r="G8" s="118">
        <f>VLOOKUP(base!A8,scansanté2024!$B$12:$L$69,11,FALSE)</f>
        <v>8601</v>
      </c>
      <c r="H8" s="118">
        <f>VLOOKUP(base!A8,dotpop24!$B$8:$U$67,20,FALSE)</f>
        <v>33610573</v>
      </c>
      <c r="I8" s="117">
        <f>VLOOKUP(base!A8,PSYSAE2023OCTOT!$F$2:$AQ$60,7,FALSE)</f>
        <v>210</v>
      </c>
      <c r="J8" s="117">
        <v>0</v>
      </c>
      <c r="K8" s="117">
        <v>0</v>
      </c>
      <c r="L8" s="117">
        <v>0</v>
      </c>
      <c r="M8" s="117">
        <v>0</v>
      </c>
      <c r="N8" s="117">
        <v>0</v>
      </c>
      <c r="O8" s="117">
        <f>VLOOKUP(base!A8,PSYSAE2023OCTOT!$F$2:$AQ$60,18,FALSE)</f>
        <v>52579</v>
      </c>
      <c r="P8" s="117">
        <v>0</v>
      </c>
      <c r="Q8" s="117">
        <v>0</v>
      </c>
      <c r="R8" s="117">
        <v>0</v>
      </c>
      <c r="S8" s="117">
        <v>0</v>
      </c>
      <c r="T8" s="117">
        <v>0</v>
      </c>
      <c r="U8" s="114">
        <f t="shared" si="2"/>
        <v>0.68596216568819313</v>
      </c>
      <c r="V8" s="114">
        <v>0</v>
      </c>
      <c r="W8" s="114">
        <v>0</v>
      </c>
      <c r="X8" s="114">
        <v>0</v>
      </c>
      <c r="Y8" s="114">
        <v>0</v>
      </c>
      <c r="Z8" s="114">
        <v>0</v>
      </c>
      <c r="AA8" s="115">
        <f t="shared" si="5"/>
        <v>44.947945205479449</v>
      </c>
      <c r="AB8" s="115">
        <f t="shared" si="0"/>
        <v>0</v>
      </c>
      <c r="AC8" s="115">
        <f t="shared" si="0"/>
        <v>0</v>
      </c>
      <c r="AD8" s="115">
        <f t="shared" si="0"/>
        <v>0</v>
      </c>
      <c r="AE8" s="115">
        <f t="shared" si="0"/>
        <v>0</v>
      </c>
      <c r="AF8" s="115">
        <f t="shared" si="0"/>
        <v>0</v>
      </c>
      <c r="AG8" s="61">
        <f>VLOOKUP(base!A8,PSYSAE2023OCTOT!$F$2:$AQ$60,14,FALSE)</f>
        <v>72</v>
      </c>
      <c r="AH8" s="61">
        <v>0</v>
      </c>
      <c r="AI8" s="61">
        <v>0</v>
      </c>
      <c r="AJ8" s="61">
        <f>VLOOKUP(base!A8,PSYSAE2023OCTOT!$F$2:$AQ$60,24,FALSE)</f>
        <v>13024</v>
      </c>
      <c r="AK8" s="61">
        <v>0</v>
      </c>
      <c r="AL8" s="61">
        <v>0</v>
      </c>
      <c r="AM8" s="105">
        <f t="shared" si="6"/>
        <v>0.49558599695585998</v>
      </c>
      <c r="AN8" s="105">
        <v>0</v>
      </c>
      <c r="AO8" s="105">
        <v>0</v>
      </c>
      <c r="AP8" s="61">
        <f t="shared" si="7"/>
        <v>32.717808219178082</v>
      </c>
      <c r="AQ8" s="61">
        <f t="shared" si="1"/>
        <v>0</v>
      </c>
      <c r="AR8" s="61">
        <f t="shared" si="1"/>
        <v>0</v>
      </c>
      <c r="AS8" s="117">
        <f>VLOOKUP(base!A8,PSYSAE2023OCTOT!$F$2:$AQ$60,27,FALSE)</f>
        <v>10</v>
      </c>
      <c r="AT8" s="117">
        <v>0</v>
      </c>
      <c r="AU8" s="117">
        <f>VLOOKUP(base!A8,PSYSAE2023OCTOT!$F$2:$AQ$60,29,FALSE)</f>
        <v>12</v>
      </c>
      <c r="AV8" s="117">
        <f>VLOOKUP(base!A8,PSYSAE2023OCTOT!$F$2:$AQ$60,30,FALSE)</f>
        <v>70316</v>
      </c>
      <c r="AW8" s="117">
        <v>0</v>
      </c>
      <c r="AX8" s="117">
        <f>VLOOKUP(base!A8,PSYSAE2023OCTOT!$F$2:$AQ$60,32,FALSE)</f>
        <v>6864</v>
      </c>
      <c r="AY8" s="117">
        <f>VLOOKUP(base!A8,PSYSAE2023OCTOT!$F$2:$AQ$60,33,FALSE)</f>
        <v>10389</v>
      </c>
      <c r="AZ8" s="117">
        <f>VLOOKUP(base!A8,PSYSAE2023OCTOT!$F$2:$AQ$60,34,FALSE)</f>
        <v>328</v>
      </c>
      <c r="BA8" s="117">
        <f>VLOOKUP(base!A8,PSYSAE2023OCTOT!$F$2:$AQ$60,35,FALSE)</f>
        <v>11402</v>
      </c>
      <c r="BB8" s="117">
        <f>VLOOKUP(base!A8,PSYSAE2023OCTOT!$F$2:$AQ$60,36,FALSE)</f>
        <v>196</v>
      </c>
      <c r="BC8" s="223">
        <f>PSYSAE2023OCTOT!AP5</f>
        <v>8413</v>
      </c>
      <c r="BD8" s="223">
        <f>PSYSAE2023OCTOT!AQ5</f>
        <v>6855</v>
      </c>
      <c r="BE8" s="268">
        <f t="shared" si="8"/>
        <v>1558</v>
      </c>
      <c r="BF8" s="61">
        <f>H8/((I8+J8+K8+L8+M8+N8)+($BF$1*(AG8+AH8+AI8))+($BF$2*(AS8+AT8+AU8)))</f>
        <v>120145.03306523681</v>
      </c>
      <c r="BG8" s="124">
        <f>$BF$1*BF8</f>
        <v>108130.52975871314</v>
      </c>
      <c r="BH8" s="124">
        <f t="shared" si="9"/>
        <v>5400272.3629267812</v>
      </c>
      <c r="BI8" s="116">
        <f t="shared" si="10"/>
        <v>3537793.9352837047</v>
      </c>
      <c r="BJ8" s="116">
        <f t="shared" si="11"/>
        <v>24672506.701789513</v>
      </c>
      <c r="BK8" s="105">
        <f t="shared" si="12"/>
        <v>0.73406980302863367</v>
      </c>
      <c r="BL8" s="105">
        <f t="shared" si="13"/>
        <v>0.26593019697136633</v>
      </c>
      <c r="BM8" s="272">
        <f t="shared" si="14"/>
        <v>21572.896662387677</v>
      </c>
      <c r="BN8" s="116">
        <f t="shared" si="15"/>
        <v>10840.808934403096</v>
      </c>
    </row>
    <row r="9" spans="1:66" x14ac:dyDescent="0.25">
      <c r="A9" s="76">
        <v>120004528</v>
      </c>
      <c r="B9" s="75" t="str">
        <f>VLOOKUP(base!A9,scansanté2024!$B$12:$L$69,2,FALSE)</f>
        <v>CH DE MILLAU</v>
      </c>
      <c r="C9" s="75" t="str">
        <f>VLOOKUP(base!A9,dotpop24!$B$8:$U$67,3,FALSE)</f>
        <v>EPS</v>
      </c>
      <c r="D9" s="61">
        <f>VLOOKUP(base!A9,scansanté2024!$B$12:$L$69,4,FALSE)</f>
        <v>12577</v>
      </c>
      <c r="E9" s="118">
        <f>VLOOKUP(base!A9,scansanté2024!$B$12:$L$69,7,FALSE)</f>
        <v>697</v>
      </c>
      <c r="F9" s="118">
        <f>VLOOKUP(base!A9,scansanté2024!$B$12:$L$69,8,FALSE)</f>
        <v>26815</v>
      </c>
      <c r="G9" s="118">
        <f>VLOOKUP(base!A9,scansanté2024!$B$12:$L$69,11,FALSE)</f>
        <v>1767</v>
      </c>
      <c r="H9" s="118">
        <f>VLOOKUP(base!A9,dotpop24!$B$8:$U$67,20,FALSE)</f>
        <v>7288848</v>
      </c>
      <c r="I9" s="117">
        <f>VLOOKUP(base!A9,PSYSAE2023OCTOT!$F$2:$AQ$60,7,FALSE)</f>
        <v>22</v>
      </c>
      <c r="J9" s="117">
        <v>0</v>
      </c>
      <c r="K9" s="117">
        <v>0</v>
      </c>
      <c r="L9" s="117">
        <v>0</v>
      </c>
      <c r="M9" s="117">
        <v>0</v>
      </c>
      <c r="N9" s="117">
        <v>0</v>
      </c>
      <c r="O9" s="117">
        <f>VLOOKUP(base!A9,PSYSAE2023OCTOT!$F$2:$AQ$60,18,FALSE)</f>
        <v>7316</v>
      </c>
      <c r="P9" s="117">
        <v>0</v>
      </c>
      <c r="Q9" s="117">
        <v>0</v>
      </c>
      <c r="R9" s="117">
        <v>0</v>
      </c>
      <c r="S9" s="117">
        <v>0</v>
      </c>
      <c r="T9" s="117">
        <v>0</v>
      </c>
      <c r="U9" s="114">
        <f t="shared" si="2"/>
        <v>0.91108343711083439</v>
      </c>
      <c r="V9" s="114">
        <v>0</v>
      </c>
      <c r="W9" s="114">
        <v>0</v>
      </c>
      <c r="X9" s="114">
        <v>0</v>
      </c>
      <c r="Y9" s="114">
        <v>0</v>
      </c>
      <c r="Z9" s="114">
        <v>0</v>
      </c>
      <c r="AA9" s="115">
        <f t="shared" si="5"/>
        <v>0</v>
      </c>
      <c r="AB9" s="115">
        <f t="shared" si="0"/>
        <v>0</v>
      </c>
      <c r="AC9" s="115">
        <f t="shared" si="0"/>
        <v>0</v>
      </c>
      <c r="AD9" s="115">
        <f t="shared" si="0"/>
        <v>0</v>
      </c>
      <c r="AE9" s="115">
        <f t="shared" si="0"/>
        <v>0</v>
      </c>
      <c r="AF9" s="115">
        <f t="shared" si="0"/>
        <v>0</v>
      </c>
      <c r="AG9" s="61">
        <f>VLOOKUP(base!A9,PSYSAE2023OCTOT!$F$2:$AQ$60,14,FALSE)</f>
        <v>27</v>
      </c>
      <c r="AH9" s="61">
        <f>VLOOKUP(base!A9,PSYSAE2023OCTOT!$F$2:$AQ$60,15,FALSE)</f>
        <v>2</v>
      </c>
      <c r="AI9" s="61">
        <f>VLOOKUP(base!A9,PSYSAE2023OCTOT!$F$2:$AQ$60,16,FALSE)</f>
        <v>1</v>
      </c>
      <c r="AJ9" s="61">
        <f>VLOOKUP(base!A9,PSYSAE2023OCTOT!$F$2:$AQ$60,24,FALSE)</f>
        <v>5363</v>
      </c>
      <c r="AK9" s="61">
        <f>VLOOKUP(base!A9,PSYSAE2023OCTOT!$F$2:$AQ$60,25,FALSE)</f>
        <v>0</v>
      </c>
      <c r="AL9" s="61">
        <f>VLOOKUP(base!A9,PSYSAE2023OCTOT!$F$2:$AQ$60,26,FALSE)</f>
        <v>301</v>
      </c>
      <c r="AM9" s="105">
        <f t="shared" si="6"/>
        <v>0.54419076610857431</v>
      </c>
      <c r="AN9" s="105">
        <f t="shared" ref="AN9:AN61" si="16">(AK9/(AH9*365))</f>
        <v>0</v>
      </c>
      <c r="AO9" s="105">
        <f t="shared" ref="AO9:AO64" si="17">(AL9/(AI9*365))</f>
        <v>0.8246575342465754</v>
      </c>
      <c r="AP9" s="61">
        <f t="shared" si="7"/>
        <v>10.956849315068494</v>
      </c>
      <c r="AQ9" s="61">
        <f t="shared" si="1"/>
        <v>1.9</v>
      </c>
      <c r="AR9" s="61">
        <f t="shared" si="1"/>
        <v>0.12534246575342467</v>
      </c>
      <c r="AS9" s="117">
        <f>VLOOKUP(base!A9,PSYSAE2023OCTOT!$F$2:$AQ$60,27,FALSE)</f>
        <v>3</v>
      </c>
      <c r="AT9" s="117">
        <f>VLOOKUP(base!A9,PSYSAE2023OCTOT!$F$2:$AQ$60,28,FALSE)</f>
        <v>5</v>
      </c>
      <c r="AU9" s="117">
        <f>VLOOKUP(base!A9,PSYSAE2023OCTOT!$F$2:$AQ$60,29,FALSE)</f>
        <v>2</v>
      </c>
      <c r="AV9" s="117">
        <f>VLOOKUP(base!A9,PSYSAE2023OCTOT!$F$2:$AQ$60,30,FALSE)</f>
        <v>15445</v>
      </c>
      <c r="AW9" s="117">
        <f>VLOOKUP(base!A9,PSYSAE2023OCTOT!$F$2:$AQ$60,31,FALSE)</f>
        <v>3159</v>
      </c>
      <c r="AX9" s="117">
        <f>VLOOKUP(base!A9,PSYSAE2023OCTOT!$F$2:$AQ$60,32,FALSE)</f>
        <v>1310</v>
      </c>
      <c r="AY9" s="117">
        <f>VLOOKUP(base!A9,PSYSAE2023OCTOT!$F$2:$AQ$60,33,FALSE)</f>
        <v>3607</v>
      </c>
      <c r="AZ9" s="117">
        <f>VLOOKUP(base!A9,PSYSAE2023OCTOT!$F$2:$AQ$60,34,FALSE)</f>
        <v>178</v>
      </c>
      <c r="BA9" s="117">
        <f>VLOOKUP(base!A9,PSYSAE2023OCTOT!$F$2:$AQ$60,35,FALSE)</f>
        <v>517</v>
      </c>
      <c r="BB9" s="117">
        <f>VLOOKUP(base!A9,PSYSAE2023OCTOT!$F$2:$AQ$60,36,FALSE)</f>
        <v>99</v>
      </c>
      <c r="BC9" s="223">
        <f>PSYSAE2023OCTOT!AP6</f>
        <v>1929</v>
      </c>
      <c r="BD9" s="223">
        <f>PSYSAE2023OCTOT!AQ6</f>
        <v>1526</v>
      </c>
      <c r="BE9" s="268">
        <f t="shared" si="8"/>
        <v>403</v>
      </c>
      <c r="BF9" s="61">
        <f>H9/((I9+J9+K9+L9+M9+N9)+($BF$1*(AG9+AH9+AI9))+($BF$2*(AS9+AT9+AU9)))</f>
        <v>142221.42439024389</v>
      </c>
      <c r="BG9" s="124">
        <f>$BF$1*BF9</f>
        <v>127999.2819512195</v>
      </c>
      <c r="BH9" s="124">
        <f t="shared" si="9"/>
        <v>0</v>
      </c>
      <c r="BI9" s="116">
        <f t="shared" si="10"/>
        <v>1661711.2260982292</v>
      </c>
      <c r="BJ9" s="116">
        <f t="shared" si="11"/>
        <v>5627136.7739017708</v>
      </c>
      <c r="BK9" s="105">
        <f t="shared" si="12"/>
        <v>0.77202004677581026</v>
      </c>
      <c r="BL9" s="105">
        <f t="shared" si="13"/>
        <v>0.22797995322418974</v>
      </c>
      <c r="BM9" s="272">
        <f t="shared" si="14"/>
        <v>18086.471464019851</v>
      </c>
      <c r="BN9" s="116">
        <f t="shared" si="15"/>
        <v>9765.9918268908677</v>
      </c>
    </row>
    <row r="10" spans="1:66" x14ac:dyDescent="0.25">
      <c r="A10" s="76">
        <v>120780044</v>
      </c>
      <c r="B10" s="75" t="str">
        <f>VLOOKUP(base!A10,scansanté2024!$B$12:$L$69,2,FALSE)</f>
        <v>CH RODEZ</v>
      </c>
      <c r="C10" s="75" t="str">
        <f>VLOOKUP(base!A10,dotpop24!$B$8:$U$67,3,FALSE)</f>
        <v>EPS</v>
      </c>
      <c r="D10" s="61">
        <f>VLOOKUP(base!A10,scansanté2024!$B$12:$L$69,4,FALSE)</f>
        <v>9922</v>
      </c>
      <c r="E10" s="118">
        <f>VLOOKUP(base!A10,scansanté2024!$B$12:$L$69,7,FALSE)</f>
        <v>553</v>
      </c>
      <c r="F10" s="118">
        <f>VLOOKUP(base!A10,scansanté2024!$B$12:$L$69,8,FALSE)</f>
        <v>12487</v>
      </c>
      <c r="G10" s="118">
        <f>VLOOKUP(base!A10,scansanté2024!$B$12:$L$69,11,FALSE)</f>
        <v>1484</v>
      </c>
      <c r="H10" s="118">
        <f>VLOOKUP(base!A10,dotpop24!$B$8:$U$67,20,FALSE)</f>
        <v>4388495</v>
      </c>
      <c r="I10" s="117">
        <f>VLOOKUP(base!A10,PSYSAE2023OCTOT!$F$2:$AQ$60,7,FALSE)</f>
        <v>5</v>
      </c>
      <c r="J10" s="117">
        <v>0</v>
      </c>
      <c r="K10" s="117">
        <v>0</v>
      </c>
      <c r="L10" s="117">
        <v>0</v>
      </c>
      <c r="M10" s="117">
        <v>0</v>
      </c>
      <c r="N10" s="117">
        <v>0</v>
      </c>
      <c r="O10" s="117">
        <f>VLOOKUP(base!A10,PSYSAE2023OCTOT!$F$2:$AQ$60,18,FALSE)</f>
        <v>1620</v>
      </c>
      <c r="P10" s="117">
        <v>0</v>
      </c>
      <c r="Q10" s="117">
        <v>0</v>
      </c>
      <c r="R10" s="117">
        <v>0</v>
      </c>
      <c r="S10" s="117">
        <v>0</v>
      </c>
      <c r="T10" s="117">
        <v>0</v>
      </c>
      <c r="U10" s="114">
        <f t="shared" si="2"/>
        <v>0.88767123287671235</v>
      </c>
      <c r="V10" s="114">
        <v>0</v>
      </c>
      <c r="W10" s="114">
        <v>0</v>
      </c>
      <c r="X10" s="114">
        <v>0</v>
      </c>
      <c r="Y10" s="114">
        <v>0</v>
      </c>
      <c r="Z10" s="114">
        <v>0</v>
      </c>
      <c r="AA10" s="115">
        <f t="shared" si="5"/>
        <v>6.1643835616438353E-2</v>
      </c>
      <c r="AB10" s="115">
        <f t="shared" si="0"/>
        <v>0</v>
      </c>
      <c r="AC10" s="115">
        <f t="shared" si="0"/>
        <v>0</v>
      </c>
      <c r="AD10" s="115">
        <f t="shared" si="0"/>
        <v>0</v>
      </c>
      <c r="AE10" s="115">
        <f t="shared" si="0"/>
        <v>0</v>
      </c>
      <c r="AF10" s="115">
        <f t="shared" si="0"/>
        <v>0</v>
      </c>
      <c r="AG10" s="61">
        <f>VLOOKUP(base!A10,PSYSAE2023OCTOT!$F$2:$AQ$60,14,FALSE)</f>
        <v>28</v>
      </c>
      <c r="AH10" s="61">
        <v>0</v>
      </c>
      <c r="AI10" s="61">
        <v>0</v>
      </c>
      <c r="AJ10" s="61">
        <f>VLOOKUP(base!A10,PSYSAE2023OCTOT!$F$2:$AQ$60,24,FALSE)</f>
        <v>3814</v>
      </c>
      <c r="AK10" s="61">
        <v>0</v>
      </c>
      <c r="AL10" s="61">
        <v>0</v>
      </c>
      <c r="AM10" s="105">
        <f t="shared" si="6"/>
        <v>0.37318982387475536</v>
      </c>
      <c r="AN10" s="105">
        <v>0</v>
      </c>
      <c r="AO10" s="105">
        <v>0</v>
      </c>
      <c r="AP10" s="61">
        <f t="shared" si="7"/>
        <v>16.150684931506849</v>
      </c>
      <c r="AQ10" s="61">
        <f t="shared" si="1"/>
        <v>0</v>
      </c>
      <c r="AR10" s="61">
        <f t="shared" si="1"/>
        <v>0</v>
      </c>
      <c r="AS10" s="117">
        <f>VLOOKUP(base!A10,PSYSAE2023OCTOT!$F$2:$AQ$60,27,FALSE)</f>
        <v>6</v>
      </c>
      <c r="AT10" s="117">
        <v>0</v>
      </c>
      <c r="AU10" s="117">
        <f>VLOOKUP(base!A10,PSYSAE2023OCTOT!$F$2:$AQ$60,29,FALSE)</f>
        <v>3</v>
      </c>
      <c r="AV10" s="117">
        <v>0</v>
      </c>
      <c r="AW10" s="117">
        <v>0</v>
      </c>
      <c r="AX10" s="117">
        <v>0</v>
      </c>
      <c r="AY10" s="117">
        <v>0</v>
      </c>
      <c r="AZ10" s="117">
        <v>0</v>
      </c>
      <c r="BA10" s="117">
        <v>0</v>
      </c>
      <c r="BB10" s="117">
        <v>0</v>
      </c>
      <c r="BC10" s="223"/>
      <c r="BD10" s="223"/>
      <c r="BE10" s="268">
        <f t="shared" si="8"/>
        <v>0</v>
      </c>
      <c r="BF10" s="61">
        <f>H10/((I10+J10+K10+L10+M10+N10)+($BF$1*(AG10+AH10+AI10))+($BF$2*(AS10+AT10+AU10)))</f>
        <v>136182.93250581846</v>
      </c>
      <c r="BG10" s="124">
        <f>$BF$1*BF10</f>
        <v>122564.63925523662</v>
      </c>
      <c r="BH10" s="124">
        <f t="shared" si="9"/>
        <v>8394.8383051531928</v>
      </c>
      <c r="BI10" s="116">
        <f t="shared" si="10"/>
        <v>1979502.8723551228</v>
      </c>
      <c r="BJ10" s="116">
        <f t="shared" si="11"/>
        <v>2400597.289339724</v>
      </c>
      <c r="BK10" s="105">
        <f t="shared" si="12"/>
        <v>0.54702062765019077</v>
      </c>
      <c r="BL10" s="105">
        <f t="shared" si="13"/>
        <v>0.45297937234980923</v>
      </c>
      <c r="BM10" s="272" t="e">
        <f t="shared" si="14"/>
        <v>#DIV/0!</v>
      </c>
      <c r="BN10" s="116" t="e">
        <f t="shared" si="15"/>
        <v>#DIV/0!</v>
      </c>
    </row>
    <row r="11" spans="1:66" x14ac:dyDescent="0.25">
      <c r="A11" s="76">
        <v>120780283</v>
      </c>
      <c r="B11" s="75" t="str">
        <f>VLOOKUP(base!A11,scansanté2024!$B$12:$L$69,2,FALSE)</f>
        <v>CH SAINTE-MARIE</v>
      </c>
      <c r="C11" s="75" t="str">
        <f>VLOOKUP(base!A11,dotpop24!$B$8:$U$67,3,FALSE)</f>
        <v>EBNL</v>
      </c>
      <c r="D11" s="61">
        <f>VLOOKUP(base!A11,scansanté2024!$B$12:$L$69,4,FALSE)</f>
        <v>94678</v>
      </c>
      <c r="E11" s="118">
        <f>VLOOKUP(base!A11,scansanté2024!$B$12:$L$69,7,FALSE)</f>
        <v>3722</v>
      </c>
      <c r="F11" s="118">
        <f>VLOOKUP(base!A11,scansanté2024!$B$12:$L$69,8,FALSE)</f>
        <v>115736</v>
      </c>
      <c r="G11" s="118">
        <f>VLOOKUP(base!A11,scansanté2024!$B$12:$L$69,11,FALSE)</f>
        <v>9675</v>
      </c>
      <c r="H11" s="118">
        <f>VLOOKUP(base!A11,dotpop24!$B$8:$U$67,20,FALSE)</f>
        <v>41633355</v>
      </c>
      <c r="I11" s="117">
        <f>VLOOKUP(base!A11,PSYSAE2023OCTOT!$F$2:$AQ$60,7,FALSE)</f>
        <v>199</v>
      </c>
      <c r="J11" s="117">
        <f>VLOOKUP(base!A11,PSYSAE2023OCTOT!$F$2:$AQ$60,8,FALSE)</f>
        <v>40</v>
      </c>
      <c r="K11" s="117">
        <f>VLOOKUP(base!A11,PSYSAE2023OCTOT!$F$2:$AQ$60,9,FALSE)</f>
        <v>5</v>
      </c>
      <c r="L11" s="117">
        <v>0</v>
      </c>
      <c r="M11" s="117">
        <f>VLOOKUP(base!A11,PSYSAE2023OCTOT!$F$2:$AQ$60,11,FALSE)</f>
        <v>4</v>
      </c>
      <c r="N11" s="117">
        <v>0</v>
      </c>
      <c r="O11" s="117">
        <f>VLOOKUP(base!A11,PSYSAE2023OCTOT!$F$2:$AQ$60,18,FALSE)</f>
        <v>63133</v>
      </c>
      <c r="P11" s="117">
        <f>VLOOKUP(base!A11,PSYSAE2023OCTOT!$F$2:$AQ$60,19,FALSE)</f>
        <v>10650</v>
      </c>
      <c r="Q11" s="117">
        <f>VLOOKUP(base!A11,PSYSAE2023OCTOT!$F$2:$AQ$60,20,FALSE)</f>
        <v>889</v>
      </c>
      <c r="R11" s="117">
        <v>0</v>
      </c>
      <c r="S11" s="117">
        <f>VLOOKUP(base!A11,PSYSAE2023OCTOT!$F$2:$AQ$60,22,FALSE)</f>
        <v>1028</v>
      </c>
      <c r="T11" s="117">
        <v>0</v>
      </c>
      <c r="U11" s="114">
        <f t="shared" si="2"/>
        <v>0.86918152405864946</v>
      </c>
      <c r="V11" s="114">
        <f t="shared" si="3"/>
        <v>0.72945205479452058</v>
      </c>
      <c r="W11" s="114">
        <f t="shared" si="4"/>
        <v>0.48712328767123286</v>
      </c>
      <c r="X11" s="114">
        <v>0</v>
      </c>
      <c r="Y11" s="114">
        <f t="shared" ref="X11:Y20" si="18">S11/(M11*365)</f>
        <v>0.70410958904109588</v>
      </c>
      <c r="Z11" s="114">
        <v>0</v>
      </c>
      <c r="AA11" s="115">
        <f t="shared" si="5"/>
        <v>6.1328767123287671</v>
      </c>
      <c r="AB11" s="115">
        <f t="shared" si="0"/>
        <v>6.8219178082191778</v>
      </c>
      <c r="AC11" s="115">
        <f t="shared" si="0"/>
        <v>2.0643835616438357</v>
      </c>
      <c r="AD11" s="115">
        <f t="shared" si="0"/>
        <v>0</v>
      </c>
      <c r="AE11" s="115">
        <f t="shared" si="0"/>
        <v>0.78356164383561644</v>
      </c>
      <c r="AF11" s="115">
        <f t="shared" si="0"/>
        <v>0</v>
      </c>
      <c r="AG11" s="61">
        <f>VLOOKUP(base!A11,PSYSAE2023OCTOT!$F$2:$AQ$60,14,FALSE)</f>
        <v>115</v>
      </c>
      <c r="AH11" s="61">
        <f>VLOOKUP(base!A11,PSYSAE2023OCTOT!$F$2:$AQ$60,15,FALSE)</f>
        <v>1</v>
      </c>
      <c r="AI11" s="61">
        <v>0</v>
      </c>
      <c r="AJ11" s="61">
        <f>VLOOKUP(base!A11,PSYSAE2023OCTOT!$F$2:$AQ$60,24,FALSE)</f>
        <v>15056</v>
      </c>
      <c r="AK11" s="61">
        <f>VLOOKUP(base!A11,PSYSAE2023OCTOT!$F$2:$AQ$60,25,FALSE)</f>
        <v>0</v>
      </c>
      <c r="AL11" s="61">
        <v>0</v>
      </c>
      <c r="AM11" s="105">
        <f t="shared" si="6"/>
        <v>0.35868969624776653</v>
      </c>
      <c r="AN11" s="105">
        <f t="shared" si="16"/>
        <v>0</v>
      </c>
      <c r="AO11" s="105">
        <v>0</v>
      </c>
      <c r="AP11" s="61">
        <f t="shared" si="7"/>
        <v>68.000684931506854</v>
      </c>
      <c r="AQ11" s="61">
        <f t="shared" si="1"/>
        <v>0.95</v>
      </c>
      <c r="AR11" s="61">
        <f t="shared" si="1"/>
        <v>0</v>
      </c>
      <c r="AS11" s="117">
        <f>VLOOKUP(base!A11,PSYSAE2023OCTOT!$F$2:$AQ$60,27,FALSE)</f>
        <v>8</v>
      </c>
      <c r="AT11" s="117">
        <f>VLOOKUP(base!A11,PSYSAE2023OCTOT!$F$2:$AQ$60,28,FALSE)</f>
        <v>8</v>
      </c>
      <c r="AU11" s="117">
        <f>VLOOKUP(base!A11,PSYSAE2023OCTOT!$F$2:$AQ$60,29,FALSE)</f>
        <v>9</v>
      </c>
      <c r="AV11" s="117">
        <f>VLOOKUP(base!A11,PSYSAE2023OCTOT!$F$2:$AQ$60,30,FALSE)</f>
        <v>45267</v>
      </c>
      <c r="AW11" s="117">
        <f>VLOOKUP(base!A11,PSYSAE2023OCTOT!$F$2:$AQ$60,31,FALSE)</f>
        <v>3353</v>
      </c>
      <c r="AX11" s="117">
        <f>VLOOKUP(base!A11,PSYSAE2023OCTOT!$F$2:$AQ$60,32,FALSE)</f>
        <v>24504</v>
      </c>
      <c r="AY11" s="117">
        <f>VLOOKUP(base!A11,PSYSAE2023OCTOT!$F$2:$AQ$60,33,FALSE)</f>
        <v>15652</v>
      </c>
      <c r="AZ11" s="117">
        <f>VLOOKUP(base!A11,PSYSAE2023OCTOT!$F$2:$AQ$60,34,FALSE)</f>
        <v>7337</v>
      </c>
      <c r="BA11" s="117">
        <f>VLOOKUP(base!A11,PSYSAE2023OCTOT!$F$2:$AQ$60,35,FALSE)</f>
        <v>684</v>
      </c>
      <c r="BB11" s="117">
        <f>VLOOKUP(base!A11,PSYSAE2023OCTOT!$F$2:$AQ$60,36,FALSE)</f>
        <v>26</v>
      </c>
      <c r="BC11" s="223">
        <f>PSYSAE2023OCTOT!AP8</f>
        <v>9714</v>
      </c>
      <c r="BD11" s="223">
        <f>PSYSAE2023OCTOT!AQ8</f>
        <v>7771</v>
      </c>
      <c r="BE11" s="268">
        <f t="shared" si="8"/>
        <v>1943</v>
      </c>
      <c r="BF11" s="61">
        <f>H11/((I11+J11+K11+L11+M11+N11)+($BF$1*(AG11+AH11+AI11))+($BF$2*(AS11+AT11+AU11)))</f>
        <v>116286.16716709727</v>
      </c>
      <c r="BG11" s="124">
        <f>$BF$1*BF11</f>
        <v>104657.55045038754</v>
      </c>
      <c r="BH11" s="124">
        <f t="shared" si="9"/>
        <v>1837640.0334789511</v>
      </c>
      <c r="BI11" s="116">
        <f t="shared" si="10"/>
        <v>7216209.7868079552</v>
      </c>
      <c r="BJ11" s="116">
        <f t="shared" si="11"/>
        <v>32579505.179713093</v>
      </c>
      <c r="BK11" s="105">
        <f t="shared" si="12"/>
        <v>0.78253374439108003</v>
      </c>
      <c r="BL11" s="105">
        <f t="shared" si="13"/>
        <v>0.21746625560891997</v>
      </c>
      <c r="BM11" s="272">
        <f t="shared" si="14"/>
        <v>21427.357179619146</v>
      </c>
      <c r="BN11" s="116">
        <f t="shared" si="15"/>
        <v>11278.243791438381</v>
      </c>
    </row>
    <row r="12" spans="1:66" x14ac:dyDescent="0.25">
      <c r="A12" s="77">
        <v>300002896</v>
      </c>
      <c r="B12" s="75" t="str">
        <f>VLOOKUP(base!A12,scansanté2024!$B$12:$L$69,2,FALSE)</f>
        <v>CIGALIERES</v>
      </c>
      <c r="C12" s="75" t="str">
        <f>VLOOKUP(base!A12,dotpop24!$B$8:$U$67,3,FALSE)</f>
        <v>EBNL</v>
      </c>
      <c r="D12" s="61">
        <f>VLOOKUP(base!A12,scansanté2024!$B$12:$L$69,4,FALSE)</f>
        <v>691</v>
      </c>
      <c r="E12" s="118">
        <f>VLOOKUP(base!A12,scansanté2024!$B$12:$L$69,7,FALSE)</f>
        <v>31</v>
      </c>
      <c r="F12" s="118">
        <f>VLOOKUP(base!A12,scansanté2024!$B$12:$L$69,8,FALSE)</f>
        <v>8184</v>
      </c>
      <c r="G12" s="118">
        <f>VLOOKUP(base!A12,scansanté2024!$B$12:$L$69,11,FALSE)</f>
        <v>188</v>
      </c>
      <c r="H12" s="118">
        <f>VLOOKUP(base!A12,dotpop24!$B$8:$U$67,20,FALSE)</f>
        <v>1085845</v>
      </c>
      <c r="I12" s="117">
        <f>VLOOKUP(base!A12,PSYSAE2023OCTOT!$F$2:$AQ$60,7,FALSE)</f>
        <v>0</v>
      </c>
      <c r="J12" s="117">
        <f>VLOOKUP(base!A12,PSYSAE2023OCTOT!$F$2:$AQ$60,8,FALSE)</f>
        <v>0</v>
      </c>
      <c r="K12" s="117">
        <f>VLOOKUP(base!A12,PSYSAE2023OCTOT!$F$2:$AQ$60,9,FALSE)</f>
        <v>0</v>
      </c>
      <c r="L12" s="117">
        <f>VLOOKUP(base!A12,PSYSAE2023OCTOT!$F$2:$AQ$60,10,FALSE)</f>
        <v>0</v>
      </c>
      <c r="M12" s="117">
        <f>VLOOKUP(base!A12,PSYSAE2023OCTOT!$F$2:$AQ$60,11,FALSE)</f>
        <v>0</v>
      </c>
      <c r="N12" s="117">
        <f>VLOOKUP(base!A12,PSYSAE2023OCTOT!$F$2:$AQ$60,12,FALSE)</f>
        <v>0</v>
      </c>
      <c r="O12" s="117">
        <f>VLOOKUP(base!A12,PSYSAE2023OCTOT!$F$2:$AQ$60,18,FALSE)</f>
        <v>0</v>
      </c>
      <c r="P12" s="117">
        <f>VLOOKUP(base!A12,PSYSAE2023OCTOT!$F$2:$AQ$60,19,FALSE)</f>
        <v>0</v>
      </c>
      <c r="Q12" s="117">
        <f>VLOOKUP(base!A12,PSYSAE2023OCTOT!$F$2:$AQ$60,20,FALSE)</f>
        <v>0</v>
      </c>
      <c r="R12" s="117">
        <f>VLOOKUP(base!A12,PSYSAE2023OCTOT!$F$2:$AQ$60,21,FALSE)</f>
        <v>0</v>
      </c>
      <c r="S12" s="117">
        <f>VLOOKUP(base!A12,PSYSAE2023OCTOT!$F$2:$AQ$60,22,FALSE)</f>
        <v>0</v>
      </c>
      <c r="T12" s="117">
        <f>VLOOKUP(base!A12,PSYSAE2023OCTOT!$F$2:$AQ$60,23,FALSE)</f>
        <v>0</v>
      </c>
      <c r="U12" s="114">
        <v>0</v>
      </c>
      <c r="V12" s="114">
        <v>0</v>
      </c>
      <c r="W12" s="114">
        <v>0</v>
      </c>
      <c r="X12" s="114">
        <v>0</v>
      </c>
      <c r="Y12" s="114">
        <v>0</v>
      </c>
      <c r="Z12" s="114">
        <v>0</v>
      </c>
      <c r="AA12" s="115">
        <f t="shared" si="5"/>
        <v>0</v>
      </c>
      <c r="AB12" s="115">
        <f t="shared" si="0"/>
        <v>0</v>
      </c>
      <c r="AC12" s="115">
        <f t="shared" si="0"/>
        <v>0</v>
      </c>
      <c r="AD12" s="115">
        <f t="shared" si="0"/>
        <v>0</v>
      </c>
      <c r="AE12" s="115">
        <f t="shared" si="0"/>
        <v>0</v>
      </c>
      <c r="AF12" s="115">
        <f t="shared" si="0"/>
        <v>0</v>
      </c>
      <c r="AG12" s="61">
        <f>VLOOKUP(base!A12,PSYSAE2023OCTOT!$F$2:$AQ$60,14,FALSE)</f>
        <v>8</v>
      </c>
      <c r="AH12" s="61">
        <f>VLOOKUP(base!A12,PSYSAE2023OCTOT!$F$2:$AQ$60,15,FALSE)</f>
        <v>0</v>
      </c>
      <c r="AI12" s="61">
        <f>VLOOKUP(base!A12,PSYSAE2023OCTOT!$F$2:$AQ$60,16,FALSE)</f>
        <v>1</v>
      </c>
      <c r="AJ12" s="61">
        <f>VLOOKUP(base!A12,PSYSAE2023OCTOT!$F$2:$AQ$60,24,FALSE)</f>
        <v>684</v>
      </c>
      <c r="AK12" s="61">
        <f>VLOOKUP(base!A12,PSYSAE2023OCTOT!$F$2:$AQ$60,25,FALSE)</f>
        <v>0</v>
      </c>
      <c r="AL12" s="61">
        <f>VLOOKUP(base!A12,PSYSAE2023OCTOT!$F$2:$AQ$60,26,FALSE)</f>
        <v>0</v>
      </c>
      <c r="AM12" s="105">
        <f t="shared" si="6"/>
        <v>0.23424657534246576</v>
      </c>
      <c r="AN12" s="105">
        <v>0</v>
      </c>
      <c r="AO12" s="105">
        <f t="shared" si="17"/>
        <v>0</v>
      </c>
      <c r="AP12" s="61">
        <f t="shared" si="7"/>
        <v>5.7260273972602738</v>
      </c>
      <c r="AQ12" s="61">
        <f t="shared" si="1"/>
        <v>0</v>
      </c>
      <c r="AR12" s="61">
        <f t="shared" si="1"/>
        <v>0.95</v>
      </c>
      <c r="AS12" s="117">
        <f>VLOOKUP(base!A12,PSYSAE2023OCTOT!$F$2:$AQ$60,27,FALSE)</f>
        <v>1</v>
      </c>
      <c r="AT12" s="117">
        <f>VLOOKUP(base!A12,PSYSAE2023OCTOT!$F$2:$AQ$60,28,FALSE)</f>
        <v>0</v>
      </c>
      <c r="AU12" s="117">
        <f>VLOOKUP(base!A12,PSYSAE2023OCTOT!$F$2:$AQ$60,29,FALSE)</f>
        <v>0</v>
      </c>
      <c r="AV12" s="117">
        <f>VLOOKUP(base!A12,PSYSAE2023OCTOT!$F$2:$AQ$60,30,FALSE)</f>
        <v>5819</v>
      </c>
      <c r="AW12" s="117">
        <f>VLOOKUP(base!A12,PSYSAE2023OCTOT!$F$2:$AQ$60,31,FALSE)</f>
        <v>0</v>
      </c>
      <c r="AX12" s="117">
        <f>VLOOKUP(base!A12,PSYSAE2023OCTOT!$F$2:$AQ$60,32,FALSE)</f>
        <v>0</v>
      </c>
      <c r="AY12" s="117">
        <f>VLOOKUP(base!A12,PSYSAE2023OCTOT!$F$2:$AQ$60,33,FALSE)</f>
        <v>0</v>
      </c>
      <c r="AZ12" s="117">
        <f>VLOOKUP(base!A12,PSYSAE2023OCTOT!$F$2:$AQ$60,34,FALSE)</f>
        <v>0</v>
      </c>
      <c r="BA12" s="117">
        <f>VLOOKUP(base!A12,PSYSAE2023OCTOT!$F$2:$AQ$60,35,FALSE)</f>
        <v>0</v>
      </c>
      <c r="BB12" s="117">
        <f>VLOOKUP(base!A12,PSYSAE2023OCTOT!$F$2:$AQ$60,36,FALSE)</f>
        <v>0</v>
      </c>
      <c r="BC12" s="223">
        <f>PSYSAE2023OCTOT!AP9</f>
        <v>197</v>
      </c>
      <c r="BD12" s="223">
        <f>PSYSAE2023OCTOT!AQ9</f>
        <v>174</v>
      </c>
      <c r="BE12" s="268">
        <f t="shared" si="8"/>
        <v>23</v>
      </c>
      <c r="BF12" s="61">
        <f>H12/((I12+J12+K12+L12+M12+N12)+($BF$1*(AG12+AH12+AI12))+($BF$2*(AS12+AT12+AU12)))</f>
        <v>130431.83183183185</v>
      </c>
      <c r="BG12" s="124">
        <f>$BF$1*BF12</f>
        <v>117388.64864864867</v>
      </c>
      <c r="BH12" s="124">
        <f t="shared" si="9"/>
        <v>0</v>
      </c>
      <c r="BI12" s="116">
        <f t="shared" si="10"/>
        <v>783689.83450573869</v>
      </c>
      <c r="BJ12" s="116">
        <f t="shared" si="11"/>
        <v>302155.16549426131</v>
      </c>
      <c r="BK12" s="105">
        <f t="shared" si="12"/>
        <v>0.27826730840429464</v>
      </c>
      <c r="BL12" s="105">
        <f t="shared" si="13"/>
        <v>0.72173269159570541</v>
      </c>
      <c r="BM12" s="272">
        <f t="shared" si="14"/>
        <v>47210.65217391304</v>
      </c>
      <c r="BN12" s="116">
        <f t="shared" si="15"/>
        <v>17471.359613837489</v>
      </c>
    </row>
    <row r="13" spans="1:66" ht="25.5" x14ac:dyDescent="0.25">
      <c r="A13" s="76">
        <v>300002128</v>
      </c>
      <c r="B13" s="75" t="str">
        <f>VLOOKUP(base!A13,scansanté2024!$B$12:$L$69,2,FALSE)</f>
        <v>ASVMT - USR CHATEAU DE COULORGUES</v>
      </c>
      <c r="C13" s="75" t="str">
        <f>VLOOKUP(base!A13,dotpop24!$B$8:$U$67,3,FALSE)</f>
        <v>EBNL</v>
      </c>
      <c r="D13" s="61">
        <f>VLOOKUP(base!A13,scansanté2024!$B$12:$L$69,4,FALSE)</f>
        <v>15258</v>
      </c>
      <c r="E13" s="118">
        <f>VLOOKUP(base!A13,scansanté2024!$B$12:$L$69,7,FALSE)</f>
        <v>147</v>
      </c>
      <c r="F13" s="118">
        <f>VLOOKUP(base!A13,scansanté2024!$B$12:$L$69,8,FALSE)</f>
        <v>0</v>
      </c>
      <c r="G13" s="118">
        <f>VLOOKUP(base!A13,scansanté2024!$B$12:$L$69,11,FALSE)</f>
        <v>92</v>
      </c>
      <c r="H13" s="118">
        <f>VLOOKUP(base!A13,dotpop24!$B$8:$U$67,20,FALSE)</f>
        <v>344811</v>
      </c>
      <c r="I13" s="117">
        <v>0</v>
      </c>
      <c r="J13" s="117">
        <v>0</v>
      </c>
      <c r="K13" s="117">
        <v>0</v>
      </c>
      <c r="L13" s="117">
        <f>VLOOKUP(base!A13,PSYSAE2023OCTOT!$F$2:$AQ$60,10,FALSE)</f>
        <v>46</v>
      </c>
      <c r="M13" s="117">
        <v>0</v>
      </c>
      <c r="N13" s="117">
        <v>0</v>
      </c>
      <c r="O13" s="117">
        <v>0</v>
      </c>
      <c r="P13" s="117">
        <v>0</v>
      </c>
      <c r="Q13" s="117">
        <v>0</v>
      </c>
      <c r="R13" s="117">
        <f>VLOOKUP(base!A13,PSYSAE2023OCTOT!$F$2:$AQ$60,21,FALSE)</f>
        <v>15122</v>
      </c>
      <c r="S13" s="117">
        <v>0</v>
      </c>
      <c r="T13" s="117">
        <v>0</v>
      </c>
      <c r="U13" s="114">
        <v>0</v>
      </c>
      <c r="V13" s="114">
        <v>0</v>
      </c>
      <c r="W13" s="114">
        <v>0</v>
      </c>
      <c r="X13" s="114">
        <f t="shared" si="18"/>
        <v>0.90065515187611678</v>
      </c>
      <c r="Y13" s="114">
        <v>0</v>
      </c>
      <c r="Z13" s="114">
        <v>0</v>
      </c>
      <c r="AA13" s="115">
        <f t="shared" si="5"/>
        <v>0</v>
      </c>
      <c r="AB13" s="115">
        <f t="shared" si="0"/>
        <v>0</v>
      </c>
      <c r="AC13" s="115">
        <f t="shared" si="0"/>
        <v>0</v>
      </c>
      <c r="AD13" s="115">
        <f t="shared" si="0"/>
        <v>0</v>
      </c>
      <c r="AE13" s="115">
        <f t="shared" si="0"/>
        <v>0</v>
      </c>
      <c r="AF13" s="115">
        <f t="shared" si="0"/>
        <v>0</v>
      </c>
      <c r="AG13" s="61">
        <v>0</v>
      </c>
      <c r="AH13" s="61">
        <v>0</v>
      </c>
      <c r="AI13" s="61">
        <v>0</v>
      </c>
      <c r="AJ13" s="61">
        <v>0</v>
      </c>
      <c r="AK13" s="61">
        <v>0</v>
      </c>
      <c r="AL13" s="61">
        <v>0</v>
      </c>
      <c r="AM13" s="105">
        <v>0</v>
      </c>
      <c r="AN13" s="105">
        <v>0</v>
      </c>
      <c r="AO13" s="105">
        <v>0</v>
      </c>
      <c r="AP13" s="61">
        <f t="shared" si="7"/>
        <v>0</v>
      </c>
      <c r="AQ13" s="61">
        <f t="shared" si="1"/>
        <v>0</v>
      </c>
      <c r="AR13" s="61">
        <f t="shared" si="1"/>
        <v>0</v>
      </c>
      <c r="AS13" s="117">
        <v>0</v>
      </c>
      <c r="AT13" s="117">
        <v>0</v>
      </c>
      <c r="AU13" s="117">
        <v>0</v>
      </c>
      <c r="AV13" s="117">
        <v>0</v>
      </c>
      <c r="AW13" s="117">
        <v>0</v>
      </c>
      <c r="AX13" s="117">
        <v>0</v>
      </c>
      <c r="AY13" s="117">
        <v>0</v>
      </c>
      <c r="AZ13" s="117">
        <v>0</v>
      </c>
      <c r="BA13" s="117">
        <v>0</v>
      </c>
      <c r="BB13" s="117">
        <v>0</v>
      </c>
      <c r="BC13" s="223">
        <f>PSYSAE2023OCTOT!AP10</f>
        <v>100</v>
      </c>
      <c r="BD13" s="223"/>
      <c r="BE13" s="268">
        <f t="shared" si="8"/>
        <v>100</v>
      </c>
      <c r="BF13" s="61">
        <f>H13/((I13+J13+K13+L13+M13+N13)+($BF$1*(AG13+AH13+AI13))+($BF$2*(AS13+AT13+AU13)))</f>
        <v>7495.891304347826</v>
      </c>
      <c r="BG13" s="124">
        <f>$BF$1*BF13</f>
        <v>6746.3021739130436</v>
      </c>
      <c r="BH13" s="124">
        <f t="shared" si="9"/>
        <v>0</v>
      </c>
      <c r="BI13" s="116">
        <f t="shared" si="10"/>
        <v>0</v>
      </c>
      <c r="BJ13" s="116">
        <f t="shared" si="11"/>
        <v>344811</v>
      </c>
      <c r="BK13" s="105">
        <f t="shared" si="12"/>
        <v>1</v>
      </c>
      <c r="BL13" s="105">
        <f t="shared" si="13"/>
        <v>0</v>
      </c>
      <c r="BM13" s="272">
        <f t="shared" si="14"/>
        <v>3448.11</v>
      </c>
      <c r="BN13" s="116">
        <f t="shared" si="15"/>
        <v>3448.11</v>
      </c>
    </row>
    <row r="14" spans="1:66" x14ac:dyDescent="0.25">
      <c r="A14" s="76">
        <v>300780038</v>
      </c>
      <c r="B14" s="75" t="str">
        <f>VLOOKUP(base!A14,scansanté2024!$B$12:$L$69,2,FALSE)</f>
        <v>CHU NIMES</v>
      </c>
      <c r="C14" s="75" t="str">
        <f>VLOOKUP(base!A14,dotpop24!$B$8:$U$67,3,FALSE)</f>
        <v>EPS</v>
      </c>
      <c r="D14" s="61">
        <f>VLOOKUP(base!A14,scansanté2024!$B$12:$L$69,4,FALSE)</f>
        <v>25861</v>
      </c>
      <c r="E14" s="118">
        <f>VLOOKUP(base!A14,scansanté2024!$B$12:$L$69,7,FALSE)</f>
        <v>1519</v>
      </c>
      <c r="F14" s="118">
        <f>VLOOKUP(base!A14,scansanté2024!$B$12:$L$69,8,FALSE)</f>
        <v>52500</v>
      </c>
      <c r="G14" s="118">
        <f>VLOOKUP(base!A14,scansanté2024!$B$12:$L$69,11,FALSE)</f>
        <v>6415</v>
      </c>
      <c r="H14" s="118">
        <f>VLOOKUP(base!A14,dotpop24!$B$8:$U$67,20,FALSE)</f>
        <v>20631656</v>
      </c>
      <c r="I14" s="117">
        <f>VLOOKUP(base!A14,PSYSAE2023OCTOT!$F$2:$AQ$60,7,FALSE)</f>
        <v>80</v>
      </c>
      <c r="J14" s="117">
        <f>VLOOKUP(base!A14,PSYSAE2023OCTOT!$F$2:$AQ$60,8,FALSE)</f>
        <v>0</v>
      </c>
      <c r="K14" s="117">
        <v>0</v>
      </c>
      <c r="L14" s="117">
        <v>0</v>
      </c>
      <c r="M14" s="117">
        <v>0</v>
      </c>
      <c r="N14" s="117">
        <v>0</v>
      </c>
      <c r="O14" s="117">
        <f>VLOOKUP(base!A14,PSYSAE2023OCTOT!$F$2:$AQ$60,18,FALSE)</f>
        <v>16910</v>
      </c>
      <c r="P14" s="117">
        <v>0</v>
      </c>
      <c r="Q14" s="117">
        <v>0</v>
      </c>
      <c r="R14" s="117">
        <v>0</v>
      </c>
      <c r="S14" s="117">
        <v>0</v>
      </c>
      <c r="T14" s="117">
        <v>0</v>
      </c>
      <c r="U14" s="114">
        <f t="shared" si="2"/>
        <v>0.57910958904109588</v>
      </c>
      <c r="V14" s="114">
        <v>0</v>
      </c>
      <c r="W14" s="114">
        <v>0</v>
      </c>
      <c r="X14" s="114">
        <v>0</v>
      </c>
      <c r="Y14" s="114">
        <v>0</v>
      </c>
      <c r="Z14" s="114">
        <v>0</v>
      </c>
      <c r="AA14" s="115">
        <f t="shared" si="5"/>
        <v>25.671232876712327</v>
      </c>
      <c r="AB14" s="115">
        <f t="shared" si="0"/>
        <v>0</v>
      </c>
      <c r="AC14" s="115">
        <f t="shared" si="0"/>
        <v>0</v>
      </c>
      <c r="AD14" s="115">
        <f t="shared" si="0"/>
        <v>0</v>
      </c>
      <c r="AE14" s="115">
        <f t="shared" si="0"/>
        <v>0</v>
      </c>
      <c r="AF14" s="115">
        <f t="shared" si="0"/>
        <v>0</v>
      </c>
      <c r="AG14" s="61">
        <f>VLOOKUP(base!A14,PSYSAE2023OCTOT!$F$2:$AQ$60,14,FALSE)</f>
        <v>44</v>
      </c>
      <c r="AH14" s="61">
        <v>0</v>
      </c>
      <c r="AI14" s="61">
        <f>VLOOKUP(base!A14,PSYSAE2023OCTOT!$F$2:$AQ$60,16,FALSE)</f>
        <v>3</v>
      </c>
      <c r="AJ14" s="61">
        <f>VLOOKUP(base!A14,PSYSAE2023OCTOT!$F$2:$AQ$60,24,FALSE)</f>
        <v>3673</v>
      </c>
      <c r="AK14" s="61">
        <v>0</v>
      </c>
      <c r="AL14" s="61">
        <f>VLOOKUP(base!A14,PSYSAE2023OCTOT!$F$2:$AQ$60,26,FALSE)</f>
        <v>658</v>
      </c>
      <c r="AM14" s="105">
        <f t="shared" si="6"/>
        <v>0.22870485678704858</v>
      </c>
      <c r="AN14" s="105">
        <v>0</v>
      </c>
      <c r="AO14" s="105">
        <f t="shared" si="17"/>
        <v>0.60091324200913243</v>
      </c>
      <c r="AP14" s="61">
        <f t="shared" si="7"/>
        <v>31.736986301369864</v>
      </c>
      <c r="AQ14" s="61">
        <f t="shared" si="1"/>
        <v>0</v>
      </c>
      <c r="AR14" s="61">
        <f t="shared" si="1"/>
        <v>1.0472602739726027</v>
      </c>
      <c r="AS14" s="117">
        <f>VLOOKUP(base!A14,PSYSAE2023OCTOT!$F$2:$AQ$60,27,FALSE)</f>
        <v>8</v>
      </c>
      <c r="AT14" s="117">
        <f>VLOOKUP(base!A14,PSYSAE2023OCTOT!$F$2:$AQ$60,28,FALSE)</f>
        <v>4</v>
      </c>
      <c r="AU14" s="117">
        <f>VLOOKUP(base!A14,PSYSAE2023OCTOT!$F$2:$AQ$60,29,FALSE)</f>
        <v>0</v>
      </c>
      <c r="AV14" s="117">
        <f>VLOOKUP(base!A14,PSYSAE2023OCTOT!$F$2:$AQ$60,30,FALSE)</f>
        <v>21495</v>
      </c>
      <c r="AW14" s="117">
        <f>VLOOKUP(base!A14,PSYSAE2023OCTOT!$F$2:$AQ$60,31,FALSE)</f>
        <v>7856</v>
      </c>
      <c r="AX14" s="117">
        <f>VLOOKUP(base!A14,PSYSAE2023OCTOT!$F$2:$AQ$60,32,FALSE)</f>
        <v>68</v>
      </c>
      <c r="AY14" s="117">
        <f>VLOOKUP(base!A14,PSYSAE2023OCTOT!$F$2:$AQ$60,33,FALSE)</f>
        <v>782</v>
      </c>
      <c r="AZ14" s="117">
        <f>VLOOKUP(base!A14,PSYSAE2023OCTOT!$F$2:$AQ$60,34,FALSE)</f>
        <v>1077</v>
      </c>
      <c r="BA14" s="117">
        <f>VLOOKUP(base!A14,PSYSAE2023OCTOT!$F$2:$AQ$60,35,FALSE)</f>
        <v>15</v>
      </c>
      <c r="BB14" s="117">
        <f>VLOOKUP(base!A14,PSYSAE2023OCTOT!$F$2:$AQ$60,36,FALSE)</f>
        <v>51</v>
      </c>
      <c r="BC14" s="223">
        <f>PSYSAE2023OCTOT!AP11</f>
        <v>5974</v>
      </c>
      <c r="BD14" s="223">
        <f>PSYSAE2023OCTOT!AQ11</f>
        <v>5436</v>
      </c>
      <c r="BE14" s="268">
        <f t="shared" si="8"/>
        <v>538</v>
      </c>
      <c r="BF14" s="61">
        <f>H14/((I14+J14+K14+L14+M14+N14)+($BF$1*(AG14+AH14+AI14))+($BF$2*(AS14+AT14+AU14)))</f>
        <v>165053.24799999999</v>
      </c>
      <c r="BG14" s="124">
        <f>$BF$1*BF14</f>
        <v>148547.92319999999</v>
      </c>
      <c r="BH14" s="124">
        <f t="shared" si="9"/>
        <v>4237120.3664657529</v>
      </c>
      <c r="BI14" s="116">
        <f t="shared" si="10"/>
        <v>4870031.7424438354</v>
      </c>
      <c r="BJ14" s="116">
        <f t="shared" si="11"/>
        <v>11524503.891090412</v>
      </c>
      <c r="BK14" s="105">
        <f t="shared" si="12"/>
        <v>0.5585835616438356</v>
      </c>
      <c r="BL14" s="105">
        <f t="shared" si="13"/>
        <v>0.4414164383561644</v>
      </c>
      <c r="BM14" s="272">
        <f t="shared" si="14"/>
        <v>38348.802973977698</v>
      </c>
      <c r="BN14" s="116">
        <f t="shared" si="15"/>
        <v>11715.209812049286</v>
      </c>
    </row>
    <row r="15" spans="1:66" x14ac:dyDescent="0.25">
      <c r="A15" s="119">
        <v>300780046</v>
      </c>
      <c r="B15" s="75" t="str">
        <f>VLOOKUP(base!A15,scansanté2024!$B$12:$L$69,2,FALSE)</f>
        <v>CH ALES</v>
      </c>
      <c r="C15" s="75" t="str">
        <f>VLOOKUP(base!A15,dotpop24!$B$8:$U$67,3,FALSE)</f>
        <v>EPS</v>
      </c>
      <c r="D15" s="61">
        <f>VLOOKUP(base!A15,scansanté2024!$B$12:$L$69,4,FALSE)</f>
        <v>25265</v>
      </c>
      <c r="E15" s="118">
        <f>VLOOKUP(base!A15,scansanté2024!$B$12:$L$69,7,FALSE)</f>
        <v>1064</v>
      </c>
      <c r="F15" s="118">
        <f>VLOOKUP(base!A15,scansanté2024!$B$12:$L$69,8,FALSE)</f>
        <v>40428</v>
      </c>
      <c r="G15" s="118">
        <f>VLOOKUP(base!A15,scansanté2024!$B$12:$L$69,11,FALSE)</f>
        <v>4109</v>
      </c>
      <c r="H15" s="118">
        <f>VLOOKUP(base!A15,dotpop24!$B$8:$U$67,20,FALSE)</f>
        <v>13410256</v>
      </c>
      <c r="I15" s="117">
        <f>VLOOKUP(base!A15,PSYSAE2023OCTOT!$F$2:$AQ$60,7,FALSE)</f>
        <v>66</v>
      </c>
      <c r="J15" s="117">
        <f>VLOOKUP(base!A15,PSYSAE2023OCTOT!$F$2:$AQ$60,8,FALSE)</f>
        <v>0</v>
      </c>
      <c r="K15" s="117">
        <f>VLOOKUP(base!A15,PSYSAE2023OCTOT!$F$2:$AQ$60,9,FALSE)</f>
        <v>0</v>
      </c>
      <c r="L15" s="117">
        <f>VLOOKUP(base!A15,PSYSAE2023OCTOT!$F$2:$AQ$60,10,FALSE)</f>
        <v>0</v>
      </c>
      <c r="M15" s="117">
        <f>VLOOKUP(base!A15,PSYSAE2023OCTOT!$F$2:$AQ$60,11,FALSE)</f>
        <v>0</v>
      </c>
      <c r="N15" s="117">
        <f>VLOOKUP(base!A15,PSYSAE2023OCTOT!$F$2:$AQ$60,12,FALSE)</f>
        <v>0</v>
      </c>
      <c r="O15" s="117">
        <f>VLOOKUP(base!A15,PSYSAE2023OCTOT!$F$2:$AQ$60,18,FALSE)</f>
        <v>20270</v>
      </c>
      <c r="P15" s="117">
        <f>VLOOKUP(base!A15,PSYSAE2023OCTOT!$F$2:$AQ$60,19,FALSE)</f>
        <v>0</v>
      </c>
      <c r="Q15" s="117">
        <f>VLOOKUP(base!A15,PSYSAE2023OCTOT!$F$2:$AQ$60,20,FALSE)</f>
        <v>0</v>
      </c>
      <c r="R15" s="117">
        <f>VLOOKUP(base!A15,PSYSAE2023OCTOT!$F$2:$AQ$60,21,FALSE)</f>
        <v>0</v>
      </c>
      <c r="S15" s="117">
        <f>VLOOKUP(base!A15,PSYSAE2023OCTOT!$F$2:$AQ$60,22,FALSE)</f>
        <v>0</v>
      </c>
      <c r="T15" s="117">
        <f>VLOOKUP(base!A15,PSYSAE2023OCTOT!$F$2:$AQ$60,23,FALSE)</f>
        <v>0</v>
      </c>
      <c r="U15" s="114">
        <f t="shared" si="2"/>
        <v>0.84142797841427974</v>
      </c>
      <c r="V15" s="114">
        <v>0</v>
      </c>
      <c r="W15" s="114">
        <v>0</v>
      </c>
      <c r="X15" s="114">
        <v>0</v>
      </c>
      <c r="Y15" s="114">
        <v>0</v>
      </c>
      <c r="Z15" s="114">
        <v>0</v>
      </c>
      <c r="AA15" s="115">
        <f t="shared" si="5"/>
        <v>3.8657534246575342</v>
      </c>
      <c r="AB15" s="115">
        <f t="shared" si="0"/>
        <v>0</v>
      </c>
      <c r="AC15" s="115">
        <f t="shared" si="0"/>
        <v>0</v>
      </c>
      <c r="AD15" s="115">
        <f t="shared" si="0"/>
        <v>0</v>
      </c>
      <c r="AE15" s="115">
        <f t="shared" si="0"/>
        <v>0</v>
      </c>
      <c r="AF15" s="115">
        <f t="shared" si="0"/>
        <v>0</v>
      </c>
      <c r="AG15" s="61">
        <f>VLOOKUP(base!A15,PSYSAE2023OCTOT!$F$2:$AQ$60,14,FALSE)</f>
        <v>16</v>
      </c>
      <c r="AH15" s="61">
        <f>VLOOKUP(base!A15,PSYSAE2023OCTOT!$F$2:$AQ$60,15,FALSE)</f>
        <v>3</v>
      </c>
      <c r="AI15" s="61">
        <f>VLOOKUP(base!A15,PSYSAE2023OCTOT!$F$2:$AQ$60,16,FALSE)</f>
        <v>0</v>
      </c>
      <c r="AJ15" s="61">
        <f>VLOOKUP(base!A15,PSYSAE2023OCTOT!$F$2:$AQ$60,24,FALSE)</f>
        <v>5974</v>
      </c>
      <c r="AK15" s="61">
        <f>VLOOKUP(base!A15,PSYSAE2023OCTOT!$F$2:$AQ$60,25,FALSE)</f>
        <v>168</v>
      </c>
      <c r="AL15" s="61">
        <f>VLOOKUP(base!A15,PSYSAE2023OCTOT!$F$2:$AQ$60,26,FALSE)</f>
        <v>0</v>
      </c>
      <c r="AM15" s="105">
        <f t="shared" si="6"/>
        <v>1.0229452054794521</v>
      </c>
      <c r="AN15" s="105">
        <f t="shared" si="16"/>
        <v>0.15342465753424658</v>
      </c>
      <c r="AO15" s="105">
        <v>0</v>
      </c>
      <c r="AP15" s="61">
        <f t="shared" si="7"/>
        <v>0</v>
      </c>
      <c r="AQ15" s="61">
        <f t="shared" si="1"/>
        <v>2.3897260273972605</v>
      </c>
      <c r="AR15" s="61">
        <f t="shared" si="1"/>
        <v>0</v>
      </c>
      <c r="AS15" s="117">
        <f>VLOOKUP(base!A15,PSYSAE2023OCTOT!$F$2:$AQ$60,27,FALSE)</f>
        <v>8</v>
      </c>
      <c r="AT15" s="117">
        <f>VLOOKUP(base!A15,PSYSAE2023OCTOT!$F$2:$AQ$60,28,FALSE)</f>
        <v>1</v>
      </c>
      <c r="AU15" s="117">
        <f>VLOOKUP(base!A15,PSYSAE2023OCTOT!$F$2:$AQ$60,29,FALSE)</f>
        <v>1</v>
      </c>
      <c r="AV15" s="117">
        <f>VLOOKUP(base!A15,PSYSAE2023OCTOT!$F$2:$AQ$60,30,FALSE)</f>
        <v>23820</v>
      </c>
      <c r="AW15" s="117">
        <f>VLOOKUP(base!A15,PSYSAE2023OCTOT!$F$2:$AQ$60,31,FALSE)</f>
        <v>513</v>
      </c>
      <c r="AX15" s="117">
        <f>VLOOKUP(base!A15,PSYSAE2023OCTOT!$F$2:$AQ$60,32,FALSE)</f>
        <v>2977</v>
      </c>
      <c r="AY15" s="117">
        <f>VLOOKUP(base!A15,PSYSAE2023OCTOT!$F$2:$AQ$60,33,FALSE)</f>
        <v>3220</v>
      </c>
      <c r="AZ15" s="117">
        <f>VLOOKUP(base!A15,PSYSAE2023OCTOT!$F$2:$AQ$60,34,FALSE)</f>
        <v>295</v>
      </c>
      <c r="BA15" s="117">
        <f>VLOOKUP(base!A15,PSYSAE2023OCTOT!$F$2:$AQ$60,35,FALSE)</f>
        <v>4606</v>
      </c>
      <c r="BB15" s="117">
        <f>VLOOKUP(base!A15,PSYSAE2023OCTOT!$F$2:$AQ$60,36,FALSE)</f>
        <v>3</v>
      </c>
      <c r="BC15" s="223">
        <f>PSYSAE2023OCTOT!AP12</f>
        <v>4761</v>
      </c>
      <c r="BD15" s="223">
        <f>PSYSAE2023OCTOT!AQ12</f>
        <v>4132</v>
      </c>
      <c r="BE15" s="268">
        <f t="shared" si="8"/>
        <v>629</v>
      </c>
      <c r="BF15" s="61">
        <f>H15/((I15+J15+K15+L15+M15+N15)+($BF$1*(AG15+AH15+AI15))+($BF$2*(AS15+AT15+AU15)))</f>
        <v>157120.74985354423</v>
      </c>
      <c r="BG15" s="124">
        <f>$BF$1*BF15</f>
        <v>141408.67486818982</v>
      </c>
      <c r="BH15" s="124">
        <f t="shared" si="9"/>
        <v>607390.07683109841</v>
      </c>
      <c r="BI15" s="116">
        <f t="shared" si="10"/>
        <v>337927.99083227006</v>
      </c>
      <c r="BJ15" s="116">
        <f t="shared" si="11"/>
        <v>12464937.932336632</v>
      </c>
      <c r="BK15" s="105">
        <f t="shared" si="12"/>
        <v>0.92950782836186219</v>
      </c>
      <c r="BL15" s="105">
        <f t="shared" si="13"/>
        <v>7.0492171638137813E-2</v>
      </c>
      <c r="BM15" s="272">
        <f t="shared" si="14"/>
        <v>21319.96184419714</v>
      </c>
      <c r="BN15" s="116">
        <f t="shared" si="15"/>
        <v>8603.4875216526598</v>
      </c>
    </row>
    <row r="16" spans="1:66" x14ac:dyDescent="0.25">
      <c r="A16" s="76">
        <v>300780103</v>
      </c>
      <c r="B16" s="75" t="str">
        <f>VLOOKUP(base!A16,scansanté2024!$B$12:$L$69,2,FALSE)</f>
        <v>CHSP LE MAS CAREIRON</v>
      </c>
      <c r="C16" s="75" t="str">
        <f>VLOOKUP(base!A16,dotpop24!$B$8:$U$67,3,FALSE)</f>
        <v>EPS</v>
      </c>
      <c r="D16" s="61">
        <f>VLOOKUP(base!A16,scansanté2024!$B$12:$L$69,4,FALSE)</f>
        <v>66201</v>
      </c>
      <c r="E16" s="118">
        <f>VLOOKUP(base!A16,scansanté2024!$B$12:$L$69,7,FALSE)</f>
        <v>2832</v>
      </c>
      <c r="F16" s="118">
        <f>VLOOKUP(base!A16,scansanté2024!$B$12:$L$69,8,FALSE)</f>
        <v>108551</v>
      </c>
      <c r="G16" s="118">
        <f>VLOOKUP(base!A16,scansanté2024!$B$12:$L$69,11,FALSE)</f>
        <v>8534</v>
      </c>
      <c r="H16" s="118">
        <f>VLOOKUP(base!A16,dotpop24!$B$8:$U$67,20,FALSE)</f>
        <v>33620300</v>
      </c>
      <c r="I16" s="117">
        <f>VLOOKUP(base!A16,PSYSAE2023OCTOT!$F$2:$AQ$60,7,FALSE)</f>
        <v>173</v>
      </c>
      <c r="J16" s="117">
        <f>VLOOKUP(base!A16,PSYSAE2023OCTOT!$F$2:$AQ$60,8,FALSE)</f>
        <v>21</v>
      </c>
      <c r="K16" s="117">
        <v>0</v>
      </c>
      <c r="L16" s="117">
        <v>0</v>
      </c>
      <c r="M16" s="117">
        <v>0</v>
      </c>
      <c r="N16" s="117">
        <v>0</v>
      </c>
      <c r="O16" s="117">
        <f>VLOOKUP(base!A16,PSYSAE2023OCTOT!$F$2:$AQ$60,18,FALSE)</f>
        <v>46350</v>
      </c>
      <c r="P16" s="117">
        <f>VLOOKUP(base!A16,PSYSAE2023OCTOT!$F$2:$AQ$60,19,FALSE)</f>
        <v>4301</v>
      </c>
      <c r="Q16" s="117">
        <v>0</v>
      </c>
      <c r="R16" s="117">
        <v>0</v>
      </c>
      <c r="S16" s="117">
        <v>0</v>
      </c>
      <c r="T16" s="117">
        <v>0</v>
      </c>
      <c r="U16" s="114">
        <f t="shared" si="2"/>
        <v>0.73402486340961282</v>
      </c>
      <c r="V16" s="114">
        <f t="shared" si="3"/>
        <v>0.56112198303979122</v>
      </c>
      <c r="W16" s="114">
        <v>0</v>
      </c>
      <c r="X16" s="114">
        <v>0</v>
      </c>
      <c r="Y16" s="114">
        <v>0</v>
      </c>
      <c r="Z16" s="114">
        <v>0</v>
      </c>
      <c r="AA16" s="115">
        <f t="shared" si="5"/>
        <v>28.713698630136985</v>
      </c>
      <c r="AB16" s="115">
        <f t="shared" si="0"/>
        <v>7.1164383561643838</v>
      </c>
      <c r="AC16" s="115">
        <f t="shared" si="0"/>
        <v>0</v>
      </c>
      <c r="AD16" s="115">
        <f t="shared" si="0"/>
        <v>0</v>
      </c>
      <c r="AE16" s="115">
        <f t="shared" si="0"/>
        <v>0</v>
      </c>
      <c r="AF16" s="115">
        <f t="shared" si="0"/>
        <v>0</v>
      </c>
      <c r="AG16" s="61">
        <f>VLOOKUP(base!A16,PSYSAE2023OCTOT!$F$2:$AQ$60,14,FALSE)</f>
        <v>122</v>
      </c>
      <c r="AH16" s="61">
        <v>0</v>
      </c>
      <c r="AI16" s="61">
        <v>0</v>
      </c>
      <c r="AJ16" s="61">
        <f>VLOOKUP(base!A16,PSYSAE2023OCTOT!$F$2:$AQ$60,24,FALSE)</f>
        <v>12125</v>
      </c>
      <c r="AK16" s="61">
        <v>0</v>
      </c>
      <c r="AL16" s="61">
        <v>0</v>
      </c>
      <c r="AM16" s="105">
        <f t="shared" si="6"/>
        <v>0.27228834493599818</v>
      </c>
      <c r="AN16" s="105">
        <v>0</v>
      </c>
      <c r="AO16" s="105">
        <v>0</v>
      </c>
      <c r="AP16" s="61">
        <f t="shared" si="7"/>
        <v>82.680821917808217</v>
      </c>
      <c r="AQ16" s="61">
        <f t="shared" si="1"/>
        <v>0</v>
      </c>
      <c r="AR16" s="61">
        <f t="shared" si="1"/>
        <v>0</v>
      </c>
      <c r="AS16" s="117">
        <f>VLOOKUP(base!A16,PSYSAE2023OCTOT!$F$2:$AQ$60,27,FALSE)</f>
        <v>11</v>
      </c>
      <c r="AT16" s="117">
        <f>VLOOKUP(base!A16,PSYSAE2023OCTOT!$F$2:$AQ$60,28,FALSE)</f>
        <v>1</v>
      </c>
      <c r="AU16" s="117">
        <f>VLOOKUP(base!A16,PSYSAE2023OCTOT!$F$2:$AQ$60,29,FALSE)</f>
        <v>2</v>
      </c>
      <c r="AV16" s="117">
        <f>VLOOKUP(base!A16,PSYSAE2023OCTOT!$F$2:$AQ$60,30,FALSE)</f>
        <v>64954</v>
      </c>
      <c r="AW16" s="117">
        <f>VLOOKUP(base!A16,PSYSAE2023OCTOT!$F$2:$AQ$60,31,FALSE)</f>
        <v>3146</v>
      </c>
      <c r="AX16" s="117">
        <f>VLOOKUP(base!A16,PSYSAE2023OCTOT!$F$2:$AQ$60,32,FALSE)</f>
        <v>14408</v>
      </c>
      <c r="AY16" s="117">
        <f>VLOOKUP(base!A16,PSYSAE2023OCTOT!$F$2:$AQ$60,33,FALSE)</f>
        <v>4130</v>
      </c>
      <c r="AZ16" s="117">
        <f>VLOOKUP(base!A16,PSYSAE2023OCTOT!$F$2:$AQ$60,34,FALSE)</f>
        <v>1257</v>
      </c>
      <c r="BA16" s="117">
        <f>VLOOKUP(base!A16,PSYSAE2023OCTOT!$F$2:$AQ$60,35,FALSE)</f>
        <v>964</v>
      </c>
      <c r="BB16" s="117">
        <f>VLOOKUP(base!A16,PSYSAE2023OCTOT!$F$2:$AQ$60,36,FALSE)</f>
        <v>198</v>
      </c>
      <c r="BC16" s="223">
        <f>PSYSAE2023OCTOT!AP13</f>
        <v>8696</v>
      </c>
      <c r="BD16" s="223">
        <f>PSYSAE2023OCTOT!AQ13</f>
        <v>7056</v>
      </c>
      <c r="BE16" s="268">
        <f t="shared" si="8"/>
        <v>1640</v>
      </c>
      <c r="BF16" s="61">
        <f>H16/((I16+J16+K16+L16+M16+N16)+($BF$1*(AG16+AH16+AI16))+($BF$2*(AS16+AT16+AU16)))</f>
        <v>109530.21664766248</v>
      </c>
      <c r="BG16" s="124">
        <f>$BF$1*BF16</f>
        <v>98577.194982896239</v>
      </c>
      <c r="BH16" s="124">
        <f t="shared" si="9"/>
        <v>3924482.6666250136</v>
      </c>
      <c r="BI16" s="116">
        <f t="shared" si="10"/>
        <v>8150443.5035379017</v>
      </c>
      <c r="BJ16" s="116">
        <f t="shared" si="11"/>
        <v>21545373.829837084</v>
      </c>
      <c r="BK16" s="105">
        <f t="shared" si="12"/>
        <v>0.64084418728676074</v>
      </c>
      <c r="BL16" s="105">
        <f t="shared" si="13"/>
        <v>0.35915581271323926</v>
      </c>
      <c r="BM16" s="272">
        <f t="shared" si="14"/>
        <v>20500.182926829268</v>
      </c>
      <c r="BN16" s="116">
        <f t="shared" si="15"/>
        <v>10416.501425207583</v>
      </c>
    </row>
    <row r="17" spans="1:66" x14ac:dyDescent="0.25">
      <c r="A17" s="76">
        <v>300780210</v>
      </c>
      <c r="B17" s="75" t="str">
        <f>VLOOKUP(base!A17,scansanté2024!$B$12:$L$69,2,FALSE)</f>
        <v>CLINIQUE BELLE RIVE</v>
      </c>
      <c r="C17" s="75" t="str">
        <f>VLOOKUP(base!A17,dotpop24!$B$8:$U$67,3,FALSE)</f>
        <v>EBL</v>
      </c>
      <c r="D17" s="61">
        <f>VLOOKUP(base!A17,scansanté2024!$B$12:$L$69,4,FALSE)</f>
        <v>61381</v>
      </c>
      <c r="E17" s="118">
        <f>VLOOKUP(base!A17,scansanté2024!$B$12:$L$69,7,FALSE)</f>
        <v>2296</v>
      </c>
      <c r="F17" s="118">
        <f>VLOOKUP(base!A17,scansanté2024!$B$12:$L$69,8,FALSE)</f>
        <v>0</v>
      </c>
      <c r="G17" s="118">
        <f>VLOOKUP(base!A17,scansanté2024!$B$12:$L$69,11,FALSE)</f>
        <v>1771</v>
      </c>
      <c r="H17" s="118">
        <f>VLOOKUP(base!A17,dotpop24!$B$8:$U$67,20,FALSE)</f>
        <v>910965</v>
      </c>
      <c r="I17" s="117">
        <f>VLOOKUP(base!A17,PSYSAE2023OCTOT!$F$2:$AQ$60,7,FALSE)</f>
        <v>112</v>
      </c>
      <c r="J17" s="117">
        <v>0</v>
      </c>
      <c r="K17" s="117">
        <v>0</v>
      </c>
      <c r="L17" s="117">
        <v>0</v>
      </c>
      <c r="M17" s="117">
        <f>VLOOKUP(base!A17,PSYSAE2023OCTOT!$F$2:$AQ$60,11,FALSE)</f>
        <v>15</v>
      </c>
      <c r="N17" s="117">
        <v>0</v>
      </c>
      <c r="O17" s="117">
        <f>VLOOKUP(base!A17,PSYSAE2023OCTOT!$F$2:$AQ$60,18,FALSE)</f>
        <v>42250</v>
      </c>
      <c r="P17" s="117">
        <v>0</v>
      </c>
      <c r="Q17" s="117">
        <v>0</v>
      </c>
      <c r="R17" s="117">
        <v>0</v>
      </c>
      <c r="S17" s="117">
        <f>VLOOKUP(base!A17,PSYSAE2023OCTOT!$F$2:$AQ$60,22,FALSE)</f>
        <v>5566</v>
      </c>
      <c r="T17" s="117">
        <v>0</v>
      </c>
      <c r="U17" s="114">
        <f t="shared" si="2"/>
        <v>1.0335127201565557</v>
      </c>
      <c r="V17" s="114">
        <v>0</v>
      </c>
      <c r="W17" s="114">
        <v>0</v>
      </c>
      <c r="X17" s="114">
        <v>0</v>
      </c>
      <c r="Y17" s="114">
        <f t="shared" si="18"/>
        <v>1.0166210045662101</v>
      </c>
      <c r="Z17" s="114">
        <v>0</v>
      </c>
      <c r="AA17" s="115">
        <f t="shared" si="5"/>
        <v>0</v>
      </c>
      <c r="AB17" s="115">
        <f t="shared" si="0"/>
        <v>0</v>
      </c>
      <c r="AC17" s="115">
        <f t="shared" si="0"/>
        <v>0</v>
      </c>
      <c r="AD17" s="115">
        <f t="shared" si="0"/>
        <v>0</v>
      </c>
      <c r="AE17" s="115">
        <f t="shared" si="0"/>
        <v>0</v>
      </c>
      <c r="AF17" s="115">
        <f t="shared" si="0"/>
        <v>0</v>
      </c>
      <c r="AG17" s="61">
        <f>VLOOKUP(base!A17,PSYSAE2023OCTOT!$F$2:$AQ$60,14,FALSE)</f>
        <v>80</v>
      </c>
      <c r="AH17" s="61">
        <v>0</v>
      </c>
      <c r="AI17" s="61">
        <v>0</v>
      </c>
      <c r="AJ17" s="61">
        <f>VLOOKUP(base!A17,PSYSAE2023OCTOT!$F$2:$AQ$60,24,FALSE)</f>
        <v>16724</v>
      </c>
      <c r="AK17" s="61">
        <v>0</v>
      </c>
      <c r="AL17" s="61">
        <v>0</v>
      </c>
      <c r="AM17" s="105">
        <f t="shared" si="6"/>
        <v>0.57273972602739731</v>
      </c>
      <c r="AN17" s="105">
        <v>0</v>
      </c>
      <c r="AO17" s="105">
        <v>0</v>
      </c>
      <c r="AP17" s="61">
        <f t="shared" si="7"/>
        <v>30.18082191780822</v>
      </c>
      <c r="AQ17" s="61">
        <f t="shared" si="1"/>
        <v>0</v>
      </c>
      <c r="AR17" s="61">
        <f t="shared" si="1"/>
        <v>0</v>
      </c>
      <c r="AS17" s="117">
        <v>0</v>
      </c>
      <c r="AT17" s="117">
        <v>0</v>
      </c>
      <c r="AU17" s="117">
        <v>0</v>
      </c>
      <c r="AV17" s="117">
        <v>0</v>
      </c>
      <c r="AW17" s="117">
        <v>0</v>
      </c>
      <c r="AX17" s="117">
        <v>0</v>
      </c>
      <c r="AY17" s="117">
        <v>0</v>
      </c>
      <c r="AZ17" s="117">
        <v>0</v>
      </c>
      <c r="BA17" s="117">
        <v>0</v>
      </c>
      <c r="BB17" s="117">
        <v>0</v>
      </c>
      <c r="BC17" s="223">
        <f>PSYSAE2023OCTOT!AP14</f>
        <v>1513</v>
      </c>
      <c r="BD17" s="223"/>
      <c r="BE17" s="268">
        <f t="shared" si="8"/>
        <v>1513</v>
      </c>
      <c r="BF17" s="61">
        <f>H17/((I17+J17+K17+L17+M17+N17)+($BF$1*(AG17+AH17+AI17))+($BF$2*(AS17+AT17+AU17)))</f>
        <v>4577.713567839196</v>
      </c>
      <c r="BG17" s="124">
        <f>$BF$1*BF17</f>
        <v>4119.9422110552769</v>
      </c>
      <c r="BH17" s="124">
        <f t="shared" si="9"/>
        <v>0</v>
      </c>
      <c r="BI17" s="116">
        <f t="shared" si="10"/>
        <v>124343.24218352036</v>
      </c>
      <c r="BJ17" s="116">
        <f t="shared" si="11"/>
        <v>786621.75781647966</v>
      </c>
      <c r="BK17" s="105">
        <f t="shared" si="12"/>
        <v>0.86350382047222418</v>
      </c>
      <c r="BL17" s="105">
        <f t="shared" si="13"/>
        <v>0.13649617952777582</v>
      </c>
      <c r="BM17" s="272">
        <f t="shared" si="14"/>
        <v>602.09187045604756</v>
      </c>
      <c r="BN17" s="116">
        <f t="shared" si="15"/>
        <v>602.09187045604756</v>
      </c>
    </row>
    <row r="18" spans="1:66" x14ac:dyDescent="0.25">
      <c r="A18" s="76">
        <v>300780244</v>
      </c>
      <c r="B18" s="75" t="str">
        <f>VLOOKUP(base!A18,scansanté2024!$B$12:$L$69,2,FALSE)</f>
        <v>CLINIQUE DU PONT DU GARD</v>
      </c>
      <c r="C18" s="75" t="str">
        <f>VLOOKUP(base!A18,dotpop24!$B$8:$U$67,3,FALSE)</f>
        <v>EBL</v>
      </c>
      <c r="D18" s="61">
        <f>VLOOKUP(base!A18,scansanté2024!$B$12:$L$69,4,FALSE)</f>
        <v>23298</v>
      </c>
      <c r="E18" s="118">
        <f>VLOOKUP(base!A18,scansanté2024!$B$12:$L$69,7,FALSE)</f>
        <v>617</v>
      </c>
      <c r="F18" s="118">
        <f>VLOOKUP(base!A18,scansanté2024!$B$12:$L$69,8,FALSE)</f>
        <v>0</v>
      </c>
      <c r="G18" s="118">
        <f>VLOOKUP(base!A18,scansanté2024!$B$12:$L$69,11,FALSE)</f>
        <v>420</v>
      </c>
      <c r="H18" s="118">
        <f>VLOOKUP(base!A18,dotpop24!$B$8:$U$67,20,FALSE)</f>
        <v>374222</v>
      </c>
      <c r="I18" s="117">
        <f>VLOOKUP(base!A18,PSYSAE2023OCTOT!$F$2:$AQ$60,7,FALSE)</f>
        <v>70</v>
      </c>
      <c r="J18" s="117">
        <v>0</v>
      </c>
      <c r="K18" s="117">
        <v>0</v>
      </c>
      <c r="L18" s="117">
        <v>0</v>
      </c>
      <c r="M18" s="117">
        <v>0</v>
      </c>
      <c r="N18" s="117">
        <v>0</v>
      </c>
      <c r="O18" s="117">
        <f>VLOOKUP(base!A18,PSYSAE2023OCTOT!$F$2:$AQ$60,18,FALSE)</f>
        <v>23401</v>
      </c>
      <c r="P18" s="117">
        <v>0</v>
      </c>
      <c r="Q18" s="117">
        <v>0</v>
      </c>
      <c r="R18" s="117">
        <v>0</v>
      </c>
      <c r="S18" s="117">
        <v>0</v>
      </c>
      <c r="T18" s="117">
        <v>0</v>
      </c>
      <c r="U18" s="114">
        <f t="shared" si="2"/>
        <v>0.91589041095890411</v>
      </c>
      <c r="V18" s="114">
        <v>0</v>
      </c>
      <c r="W18" s="114">
        <v>0</v>
      </c>
      <c r="X18" s="114">
        <v>0</v>
      </c>
      <c r="Y18" s="114">
        <v>0</v>
      </c>
      <c r="Z18" s="114">
        <v>0</v>
      </c>
      <c r="AA18" s="115">
        <f t="shared" si="5"/>
        <v>0</v>
      </c>
      <c r="AB18" s="115">
        <f t="shared" si="0"/>
        <v>0</v>
      </c>
      <c r="AC18" s="115">
        <f t="shared" si="0"/>
        <v>0</v>
      </c>
      <c r="AD18" s="115">
        <f t="shared" si="0"/>
        <v>0</v>
      </c>
      <c r="AE18" s="115">
        <f t="shared" si="0"/>
        <v>0</v>
      </c>
      <c r="AF18" s="115">
        <f t="shared" si="0"/>
        <v>0</v>
      </c>
      <c r="AG18" s="61">
        <v>0</v>
      </c>
      <c r="AH18" s="61">
        <v>0</v>
      </c>
      <c r="AI18" s="61">
        <v>0</v>
      </c>
      <c r="AJ18" s="61">
        <v>0</v>
      </c>
      <c r="AK18" s="61">
        <v>0</v>
      </c>
      <c r="AL18" s="61">
        <v>0</v>
      </c>
      <c r="AM18" s="105">
        <v>0</v>
      </c>
      <c r="AN18" s="105">
        <v>0</v>
      </c>
      <c r="AO18" s="105">
        <v>0</v>
      </c>
      <c r="AP18" s="61">
        <f t="shared" si="7"/>
        <v>0</v>
      </c>
      <c r="AQ18" s="61">
        <f t="shared" si="1"/>
        <v>0</v>
      </c>
      <c r="AR18" s="61">
        <f t="shared" si="1"/>
        <v>0</v>
      </c>
      <c r="AS18" s="117">
        <v>0</v>
      </c>
      <c r="AT18" s="117">
        <v>0</v>
      </c>
      <c r="AU18" s="117">
        <v>0</v>
      </c>
      <c r="AV18" s="117">
        <v>0</v>
      </c>
      <c r="AW18" s="117">
        <v>0</v>
      </c>
      <c r="AX18" s="117">
        <v>0</v>
      </c>
      <c r="AY18" s="117">
        <v>0</v>
      </c>
      <c r="AZ18" s="117">
        <v>0</v>
      </c>
      <c r="BA18" s="117">
        <v>0</v>
      </c>
      <c r="BB18" s="117">
        <v>0</v>
      </c>
      <c r="BC18" s="223">
        <f>PSYSAE2023OCTOT!AP15</f>
        <v>470</v>
      </c>
      <c r="BD18" s="223"/>
      <c r="BE18" s="268">
        <f t="shared" si="8"/>
        <v>470</v>
      </c>
      <c r="BF18" s="61">
        <f>H18/((I18+J18+K18+L18+M18+N18)+($BF$1*(AG18+AH18+AI18))+($BF$2*(AS18+AT18+AU18)))</f>
        <v>5346.028571428571</v>
      </c>
      <c r="BG18" s="124">
        <f>$BF$1*BF18</f>
        <v>4811.4257142857141</v>
      </c>
      <c r="BH18" s="124">
        <f t="shared" si="9"/>
        <v>0</v>
      </c>
      <c r="BI18" s="116">
        <f t="shared" si="10"/>
        <v>0</v>
      </c>
      <c r="BJ18" s="116">
        <f t="shared" si="11"/>
        <v>374222</v>
      </c>
      <c r="BK18" s="105">
        <f t="shared" si="12"/>
        <v>1</v>
      </c>
      <c r="BL18" s="105">
        <f t="shared" si="13"/>
        <v>0</v>
      </c>
      <c r="BM18" s="272">
        <f t="shared" si="14"/>
        <v>796.2170212765958</v>
      </c>
      <c r="BN18" s="116">
        <f t="shared" si="15"/>
        <v>796.2170212765958</v>
      </c>
    </row>
    <row r="19" spans="1:66" ht="38.25" x14ac:dyDescent="0.25">
      <c r="A19" s="76">
        <v>300780251</v>
      </c>
      <c r="B19" s="75" t="str">
        <f>VLOOKUP(base!A19,scansanté2024!$B$12:$L$69,2,FALSE)</f>
        <v>CLINIQUE NEURO-PSYCHIATRIQUE DOMAINE DU CROS</v>
      </c>
      <c r="C19" s="75" t="str">
        <f>VLOOKUP(base!A19,dotpop24!$B$8:$U$67,3,FALSE)</f>
        <v>EBL</v>
      </c>
      <c r="D19" s="61">
        <f>VLOOKUP(base!A19,scansanté2024!$B$12:$L$69,4,FALSE)</f>
        <v>65171</v>
      </c>
      <c r="E19" s="118">
        <f>VLOOKUP(base!A19,scansanté2024!$B$12:$L$69,7,FALSE)</f>
        <v>1002</v>
      </c>
      <c r="F19" s="118">
        <f>VLOOKUP(base!A19,scansanté2024!$B$12:$L$69,8,FALSE)</f>
        <v>0</v>
      </c>
      <c r="G19" s="118">
        <f>VLOOKUP(base!A19,scansanté2024!$B$12:$L$69,11,FALSE)</f>
        <v>649</v>
      </c>
      <c r="H19" s="118">
        <f>VLOOKUP(base!A19,dotpop24!$B$8:$U$67,20,FALSE)</f>
        <v>1393883</v>
      </c>
      <c r="I19" s="117">
        <f>VLOOKUP(base!A19,PSYSAE2023OCTOT!$F$2:$AQ$60,7,FALSE)</f>
        <v>227</v>
      </c>
      <c r="J19" s="117">
        <v>0</v>
      </c>
      <c r="K19" s="117">
        <v>0</v>
      </c>
      <c r="L19" s="117">
        <v>0</v>
      </c>
      <c r="M19" s="117">
        <v>0</v>
      </c>
      <c r="N19" s="117">
        <v>0</v>
      </c>
      <c r="O19" s="117">
        <f>VLOOKUP(base!A19,PSYSAE2023OCTOT!$F$2:$AQ$60,18,FALSE)</f>
        <v>64825</v>
      </c>
      <c r="P19" s="117">
        <v>0</v>
      </c>
      <c r="Q19" s="117">
        <v>0</v>
      </c>
      <c r="R19" s="117">
        <v>0</v>
      </c>
      <c r="S19" s="117">
        <v>0</v>
      </c>
      <c r="T19" s="117">
        <v>0</v>
      </c>
      <c r="U19" s="114">
        <f t="shared" si="2"/>
        <v>0.78239092390320442</v>
      </c>
      <c r="V19" s="114">
        <v>0</v>
      </c>
      <c r="W19" s="114">
        <v>0</v>
      </c>
      <c r="X19" s="114">
        <v>0</v>
      </c>
      <c r="Y19" s="114">
        <v>0</v>
      </c>
      <c r="Z19" s="114">
        <v>0</v>
      </c>
      <c r="AA19" s="115">
        <f t="shared" si="5"/>
        <v>26.697260273972603</v>
      </c>
      <c r="AB19" s="115">
        <f t="shared" si="0"/>
        <v>0</v>
      </c>
      <c r="AC19" s="115">
        <f t="shared" si="0"/>
        <v>0</v>
      </c>
      <c r="AD19" s="115">
        <f t="shared" si="0"/>
        <v>0</v>
      </c>
      <c r="AE19" s="115">
        <f t="shared" si="0"/>
        <v>0</v>
      </c>
      <c r="AF19" s="115">
        <f t="shared" si="0"/>
        <v>0</v>
      </c>
      <c r="AG19" s="61">
        <v>0</v>
      </c>
      <c r="AH19" s="61">
        <v>0</v>
      </c>
      <c r="AI19" s="61">
        <v>0</v>
      </c>
      <c r="AJ19" s="61">
        <v>0</v>
      </c>
      <c r="AK19" s="61">
        <v>0</v>
      </c>
      <c r="AL19" s="61">
        <v>0</v>
      </c>
      <c r="AM19" s="105">
        <v>0</v>
      </c>
      <c r="AN19" s="105">
        <v>0</v>
      </c>
      <c r="AO19" s="105">
        <v>0</v>
      </c>
      <c r="AP19" s="61">
        <f t="shared" si="7"/>
        <v>0</v>
      </c>
      <c r="AQ19" s="61">
        <f t="shared" si="1"/>
        <v>0</v>
      </c>
      <c r="AR19" s="61">
        <f t="shared" si="1"/>
        <v>0</v>
      </c>
      <c r="AS19" s="117">
        <v>0</v>
      </c>
      <c r="AT19" s="117">
        <v>0</v>
      </c>
      <c r="AU19" s="117">
        <v>0</v>
      </c>
      <c r="AV19" s="117">
        <v>0</v>
      </c>
      <c r="AW19" s="117">
        <v>0</v>
      </c>
      <c r="AX19" s="117">
        <v>0</v>
      </c>
      <c r="AY19" s="117">
        <v>0</v>
      </c>
      <c r="AZ19" s="117">
        <v>0</v>
      </c>
      <c r="BA19" s="117">
        <v>0</v>
      </c>
      <c r="BB19" s="117">
        <v>0</v>
      </c>
      <c r="BC19" s="223">
        <f>PSYSAE2023OCTOT!AP16</f>
        <v>630</v>
      </c>
      <c r="BD19" s="223"/>
      <c r="BE19" s="268">
        <f t="shared" si="8"/>
        <v>630</v>
      </c>
      <c r="BF19" s="61">
        <f>H19/((I19+J19+K19+L19+M19+N19)+($BF$1*(AG19+AH19+AI19))+($BF$2*(AS19+AT19+AU19)))</f>
        <v>6140.4537444933922</v>
      </c>
      <c r="BG19" s="124">
        <f>$BF$1*BF19</f>
        <v>5526.4083700440533</v>
      </c>
      <c r="BH19" s="124">
        <f t="shared" si="9"/>
        <v>163933.29181702976</v>
      </c>
      <c r="BI19" s="116">
        <f t="shared" si="10"/>
        <v>0</v>
      </c>
      <c r="BJ19" s="116">
        <f t="shared" si="11"/>
        <v>1229949.7081829703</v>
      </c>
      <c r="BK19" s="105">
        <f t="shared" si="12"/>
        <v>0.88239092390320439</v>
      </c>
      <c r="BL19" s="105">
        <f t="shared" si="13"/>
        <v>0.11760907609679561</v>
      </c>
      <c r="BM19" s="272">
        <f t="shared" si="14"/>
        <v>2212.5126984126982</v>
      </c>
      <c r="BN19" s="116">
        <f t="shared" si="15"/>
        <v>2212.5126984126982</v>
      </c>
    </row>
    <row r="20" spans="1:66" s="107" customFormat="1" x14ac:dyDescent="0.25">
      <c r="A20" s="153">
        <v>300780269</v>
      </c>
      <c r="B20" s="75" t="str">
        <f>VLOOKUP(base!A20,scansanté2024!$B$12:$L$69,2,FALSE)</f>
        <v>CLINIQUE LES SOPHORAS</v>
      </c>
      <c r="C20" s="75" t="str">
        <f>VLOOKUP(base!A20,dotpop24!$B$8:$U$67,3,FALSE)</f>
        <v>EBL</v>
      </c>
      <c r="D20" s="154">
        <f>VLOOKUP(base!A20,scansanté2024!$B$12:$L$69,4,FALSE)</f>
        <v>35421</v>
      </c>
      <c r="E20" s="155">
        <f>VLOOKUP(base!A20,scansanté2024!$B$12:$L$69,7,FALSE)</f>
        <v>1268</v>
      </c>
      <c r="F20" s="155">
        <f>VLOOKUP(base!A20,scansanté2024!$B$12:$L$69,8,FALSE)</f>
        <v>0</v>
      </c>
      <c r="G20" s="155">
        <f>VLOOKUP(base!A20,scansanté2024!$B$12:$L$69,11,FALSE)</f>
        <v>760</v>
      </c>
      <c r="H20" s="155">
        <f>VLOOKUP(base!A20,dotpop24!$B$8:$U$67,20,FALSE)</f>
        <v>616998</v>
      </c>
      <c r="I20" s="156">
        <f>VLOOKUP(base!A20,PSYSAE2023OCTOT!$F$2:$AQ$60,7,FALSE)</f>
        <v>96</v>
      </c>
      <c r="J20" s="156">
        <v>0</v>
      </c>
      <c r="K20" s="156">
        <v>0</v>
      </c>
      <c r="L20" s="156">
        <v>0</v>
      </c>
      <c r="M20" s="156">
        <f>VLOOKUP(base!A20,PSYSAE2023OCTOT!$F$2:$AQ$60,11,FALSE)</f>
        <v>9</v>
      </c>
      <c r="N20" s="156">
        <v>0</v>
      </c>
      <c r="O20" s="156">
        <f>VLOOKUP(base!A20,PSYSAE2023OCTOT!$F$2:$AQ$60,18,FALSE)</f>
        <v>32156</v>
      </c>
      <c r="P20" s="156">
        <v>0</v>
      </c>
      <c r="Q20" s="156">
        <v>0</v>
      </c>
      <c r="R20" s="156">
        <v>0</v>
      </c>
      <c r="S20" s="156">
        <f>VLOOKUP(base!A20,PSYSAE2023OCTOT!$F$2:$AQ$60,22,FALSE)</f>
        <v>1685</v>
      </c>
      <c r="T20" s="156">
        <v>0</v>
      </c>
      <c r="U20" s="157">
        <f t="shared" si="2"/>
        <v>0.91769406392694064</v>
      </c>
      <c r="V20" s="157">
        <v>0</v>
      </c>
      <c r="W20" s="157">
        <v>0</v>
      </c>
      <c r="X20" s="157">
        <v>0</v>
      </c>
      <c r="Y20" s="157">
        <f t="shared" si="18"/>
        <v>0.51293759512937598</v>
      </c>
      <c r="Z20" s="157">
        <v>0</v>
      </c>
      <c r="AA20" s="158">
        <f t="shared" si="5"/>
        <v>0</v>
      </c>
      <c r="AB20" s="158">
        <f t="shared" si="0"/>
        <v>0</v>
      </c>
      <c r="AC20" s="158">
        <f t="shared" si="0"/>
        <v>0</v>
      </c>
      <c r="AD20" s="158">
        <f t="shared" si="0"/>
        <v>0</v>
      </c>
      <c r="AE20" s="158">
        <f t="shared" si="0"/>
        <v>3.4835616438356163</v>
      </c>
      <c r="AF20" s="158">
        <f t="shared" si="0"/>
        <v>0</v>
      </c>
      <c r="AG20" s="154">
        <f>VLOOKUP(base!A20,PSYSAE2023OCTOT!$F$2:$AQ$60,14,FALSE)</f>
        <v>12</v>
      </c>
      <c r="AH20" s="154">
        <v>0</v>
      </c>
      <c r="AI20" s="154">
        <v>0</v>
      </c>
      <c r="AJ20" s="154">
        <f>VLOOKUP(base!A20,PSYSAE2023OCTOT!$F$2:$AQ$60,24,FALSE)</f>
        <v>3825</v>
      </c>
      <c r="AK20" s="154">
        <v>0</v>
      </c>
      <c r="AL20" s="154">
        <v>0</v>
      </c>
      <c r="AM20" s="159">
        <f t="shared" si="6"/>
        <v>0.87328767123287676</v>
      </c>
      <c r="AN20" s="159">
        <v>0</v>
      </c>
      <c r="AO20" s="159">
        <v>0</v>
      </c>
      <c r="AP20" s="154">
        <f t="shared" si="7"/>
        <v>0.92054794520547945</v>
      </c>
      <c r="AQ20" s="154">
        <f t="shared" si="1"/>
        <v>0</v>
      </c>
      <c r="AR20" s="154">
        <f t="shared" si="1"/>
        <v>0</v>
      </c>
      <c r="AS20" s="156">
        <v>0</v>
      </c>
      <c r="AT20" s="156">
        <v>0</v>
      </c>
      <c r="AU20" s="156">
        <v>0</v>
      </c>
      <c r="AV20" s="156">
        <v>0</v>
      </c>
      <c r="AW20" s="156">
        <v>0</v>
      </c>
      <c r="AX20" s="156">
        <v>0</v>
      </c>
      <c r="AY20" s="156">
        <v>0</v>
      </c>
      <c r="AZ20" s="156">
        <v>0</v>
      </c>
      <c r="BA20" s="156">
        <v>0</v>
      </c>
      <c r="BB20" s="156">
        <v>0</v>
      </c>
      <c r="BC20" s="223">
        <f>PSYSAE2023OCTOT!AP17</f>
        <v>908</v>
      </c>
      <c r="BD20" s="223"/>
      <c r="BE20" s="268">
        <f t="shared" si="8"/>
        <v>908</v>
      </c>
      <c r="BF20" s="61">
        <f>H20/((I20+J20+K20+L20+M20+N20)+($BF$1*(AG20+AH20+AI20))+($BF$2*(AS20+AT20+AU20)))</f>
        <v>5328.1347150259071</v>
      </c>
      <c r="BG20" s="124">
        <f>$BF$1*BF20</f>
        <v>4795.3212435233163</v>
      </c>
      <c r="BH20" s="124">
        <f t="shared" si="9"/>
        <v>18560.885726453263</v>
      </c>
      <c r="BI20" s="116">
        <f t="shared" si="10"/>
        <v>4414.3231173255735</v>
      </c>
      <c r="BJ20" s="116">
        <f t="shared" si="11"/>
        <v>594022.79115622118</v>
      </c>
      <c r="BK20" s="105">
        <f t="shared" si="12"/>
        <v>0.96276291196441666</v>
      </c>
      <c r="BL20" s="105">
        <f t="shared" si="13"/>
        <v>3.7237088035583343E-2</v>
      </c>
      <c r="BM20" s="272">
        <f t="shared" si="14"/>
        <v>679.51321585903088</v>
      </c>
      <c r="BN20" s="116">
        <f t="shared" si="15"/>
        <v>679.51321585903088</v>
      </c>
    </row>
    <row r="21" spans="1:66" ht="25.5" x14ac:dyDescent="0.25">
      <c r="A21" s="76">
        <v>300780384</v>
      </c>
      <c r="B21" s="75" t="str">
        <f>VLOOKUP(base!A21,scansanté2024!$B$12:$L$69,2,FALSE)</f>
        <v>CENTRE DE PROTECTION INFANTILE DE MONTAURY</v>
      </c>
      <c r="C21" s="75" t="str">
        <f>VLOOKUP(base!A21,dotpop24!$B$8:$U$67,3,FALSE)</f>
        <v>EBNL</v>
      </c>
      <c r="D21" s="61">
        <f>VLOOKUP(base!A21,scansanté2024!$B$12:$L$69,4,FALSE)</f>
        <v>1664</v>
      </c>
      <c r="E21" s="118">
        <f>VLOOKUP(base!A21,scansanté2024!$B$12:$L$69,7,FALSE)</f>
        <v>36</v>
      </c>
      <c r="F21" s="118">
        <f>VLOOKUP(base!A21,scansanté2024!$B$12:$L$69,8,FALSE)</f>
        <v>4965</v>
      </c>
      <c r="G21" s="118">
        <f>VLOOKUP(base!A21,scansanté2024!$B$12:$L$69,11,FALSE)</f>
        <v>369</v>
      </c>
      <c r="H21" s="118">
        <f>VLOOKUP(base!A21,dotpop24!$B$8:$U$67,20,FALSE)</f>
        <v>1394189</v>
      </c>
      <c r="I21" s="117">
        <v>0</v>
      </c>
      <c r="J21" s="117">
        <f>VLOOKUP(base!A21,PSYSAE2023OCTOT!$F$2:$AQ$60,8,FALSE)</f>
        <v>6</v>
      </c>
      <c r="K21" s="117">
        <v>0</v>
      </c>
      <c r="L21" s="117">
        <v>0</v>
      </c>
      <c r="M21" s="117">
        <v>0</v>
      </c>
      <c r="N21" s="117">
        <v>0</v>
      </c>
      <c r="O21" s="117">
        <v>0</v>
      </c>
      <c r="P21" s="117">
        <f>VLOOKUP(base!A21,PSYSAE2023OCTOT!$F$2:$AQ$60,19,FALSE)</f>
        <v>679</v>
      </c>
      <c r="Q21" s="117">
        <v>0</v>
      </c>
      <c r="R21" s="117">
        <v>0</v>
      </c>
      <c r="S21" s="117">
        <v>0</v>
      </c>
      <c r="T21" s="117">
        <v>0</v>
      </c>
      <c r="U21" s="114">
        <v>0</v>
      </c>
      <c r="V21" s="114">
        <f t="shared" si="3"/>
        <v>0.31004566210045664</v>
      </c>
      <c r="W21" s="114">
        <v>0</v>
      </c>
      <c r="X21" s="114">
        <v>0</v>
      </c>
      <c r="Y21" s="114">
        <v>0</v>
      </c>
      <c r="Z21" s="114">
        <v>0</v>
      </c>
      <c r="AA21" s="115">
        <f t="shared" si="5"/>
        <v>0</v>
      </c>
      <c r="AB21" s="115">
        <f t="shared" si="5"/>
        <v>3.5397260273972604</v>
      </c>
      <c r="AC21" s="115">
        <f t="shared" si="5"/>
        <v>0</v>
      </c>
      <c r="AD21" s="115">
        <f t="shared" si="5"/>
        <v>0</v>
      </c>
      <c r="AE21" s="115">
        <f t="shared" si="5"/>
        <v>0</v>
      </c>
      <c r="AF21" s="115">
        <f t="shared" si="5"/>
        <v>0</v>
      </c>
      <c r="AG21" s="61">
        <f>VLOOKUP(base!A21,PSYSAE2023OCTOT!$F$2:$AQ$60,14,FALSE)</f>
        <v>8</v>
      </c>
      <c r="AH21" s="61">
        <v>0</v>
      </c>
      <c r="AI21" s="61">
        <v>0</v>
      </c>
      <c r="AJ21" s="61">
        <f>VLOOKUP(base!A21,PSYSAE2023OCTOT!$F$2:$AQ$60,24,FALSE)</f>
        <v>1707</v>
      </c>
      <c r="AK21" s="61">
        <v>0</v>
      </c>
      <c r="AL21" s="61">
        <v>0</v>
      </c>
      <c r="AM21" s="105">
        <f t="shared" si="6"/>
        <v>0.58458904109589038</v>
      </c>
      <c r="AN21" s="105">
        <v>0</v>
      </c>
      <c r="AO21" s="105">
        <v>0</v>
      </c>
      <c r="AP21" s="61">
        <f t="shared" si="7"/>
        <v>2.9232876712328766</v>
      </c>
      <c r="AQ21" s="61">
        <f t="shared" si="7"/>
        <v>0</v>
      </c>
      <c r="AR21" s="61">
        <f t="shared" si="7"/>
        <v>0</v>
      </c>
      <c r="AS21" s="117">
        <f>VLOOKUP(base!A21,PSYSAE2023OCTOT!$F$2:$AQ$60,27,FALSE)</f>
        <v>1</v>
      </c>
      <c r="AT21" s="117">
        <f>VLOOKUP(base!A21,PSYSAE2023OCTOT!$F$2:$AQ$60,28,FALSE)</f>
        <v>1</v>
      </c>
      <c r="AU21" s="117">
        <v>0</v>
      </c>
      <c r="AV21" s="117">
        <f>VLOOKUP(base!A21,PSYSAE2023OCTOT!$F$2:$AQ$60,30,FALSE)</f>
        <v>4141</v>
      </c>
      <c r="AW21" s="117">
        <f>VLOOKUP(base!A21,PSYSAE2023OCTOT!$F$2:$AQ$60,31,FALSE)</f>
        <v>1490</v>
      </c>
      <c r="AX21" s="117">
        <v>0</v>
      </c>
      <c r="AY21" s="117">
        <f>VLOOKUP(base!A21,PSYSAE2023OCTOT!$F$2:$AQ$60,33,FALSE)</f>
        <v>11</v>
      </c>
      <c r="AZ21" s="117">
        <v>0</v>
      </c>
      <c r="BA21" s="117">
        <v>0</v>
      </c>
      <c r="BB21" s="117">
        <f>VLOOKUP(base!A21,PSYSAE2023OCTOT!$F$2:$AQ$60,36,FALSE)</f>
        <v>53</v>
      </c>
      <c r="BC21" s="223">
        <f>PSYSAE2023OCTOT!AP18</f>
        <v>393</v>
      </c>
      <c r="BD21" s="223">
        <f>PSYSAE2023OCTOT!AQ18</f>
        <v>357</v>
      </c>
      <c r="BE21" s="268">
        <f t="shared" si="8"/>
        <v>36</v>
      </c>
      <c r="BF21" s="61">
        <f>H21/((I21+J21+K21+L21+M21+N21)+($BF$1*(AG21+AH21+AI21))+($BF$2*(AS21+AT21+AU21)))</f>
        <v>102138.38827838829</v>
      </c>
      <c r="BG21" s="124">
        <f>$BF$1*BF21</f>
        <v>91924.549450549457</v>
      </c>
      <c r="BH21" s="124">
        <f t="shared" si="9"/>
        <v>361541.91138541827</v>
      </c>
      <c r="BI21" s="116">
        <f t="shared" si="10"/>
        <v>268721.90209242812</v>
      </c>
      <c r="BJ21" s="116">
        <f t="shared" si="11"/>
        <v>763925.18652215367</v>
      </c>
      <c r="BK21" s="105">
        <f t="shared" si="12"/>
        <v>0.54793516985297808</v>
      </c>
      <c r="BL21" s="105">
        <f t="shared" si="13"/>
        <v>0.45206483014702192</v>
      </c>
      <c r="BM21" s="272">
        <f t="shared" si="14"/>
        <v>38727.472222222219</v>
      </c>
      <c r="BN21" s="116">
        <f t="shared" si="15"/>
        <v>11985.291209972062</v>
      </c>
    </row>
    <row r="22" spans="1:66" ht="25.5" x14ac:dyDescent="0.25">
      <c r="A22" s="76">
        <v>300780764</v>
      </c>
      <c r="B22" s="75" t="str">
        <f>VLOOKUP(base!A22,scansanté2024!$B$12:$L$69,2,FALSE)</f>
        <v>CENTRE DE POST CURE DU PEYRON</v>
      </c>
      <c r="C22" s="75" t="str">
        <f>VLOOKUP(base!A22,dotpop24!$B$8:$U$67,3,FALSE)</f>
        <v>EBNL</v>
      </c>
      <c r="D22" s="61">
        <f>VLOOKUP(base!A22,scansanté2024!$B$12:$L$69,4,FALSE)</f>
        <v>9344</v>
      </c>
      <c r="E22" s="118">
        <f>VLOOKUP(base!A22,scansanté2024!$B$12:$L$69,7,FALSE)</f>
        <v>252</v>
      </c>
      <c r="F22" s="118">
        <f>VLOOKUP(base!A22,scansanté2024!$B$12:$L$69,8,FALSE)</f>
        <v>0</v>
      </c>
      <c r="G22" s="118">
        <f>VLOOKUP(base!A22,scansanté2024!$B$12:$L$69,11,FALSE)</f>
        <v>183</v>
      </c>
      <c r="H22" s="118">
        <f>VLOOKUP(base!A22,dotpop24!$B$8:$U$67,20,FALSE)</f>
        <v>1917549</v>
      </c>
      <c r="I22" s="117">
        <f>VLOOKUP(base!A22,PSYSAE2023OCTOT!$F$2:$AQ$60,7,FALSE)</f>
        <v>21</v>
      </c>
      <c r="J22" s="117">
        <v>0</v>
      </c>
      <c r="K22" s="117">
        <v>0</v>
      </c>
      <c r="L22" s="117">
        <v>0</v>
      </c>
      <c r="M22" s="117">
        <v>0</v>
      </c>
      <c r="N22" s="117">
        <v>0</v>
      </c>
      <c r="O22" s="117">
        <f>VLOOKUP(base!A22,PSYSAE2023OCTOT!$F$2:$AQ$60,18,FALSE)</f>
        <v>5103</v>
      </c>
      <c r="P22" s="117">
        <v>0</v>
      </c>
      <c r="Q22" s="117">
        <v>0</v>
      </c>
      <c r="R22" s="117">
        <v>0</v>
      </c>
      <c r="S22" s="117">
        <v>0</v>
      </c>
      <c r="T22" s="117">
        <v>0</v>
      </c>
      <c r="U22" s="114">
        <f t="shared" si="2"/>
        <v>0.66575342465753429</v>
      </c>
      <c r="V22" s="114">
        <v>0</v>
      </c>
      <c r="W22" s="114">
        <v>0</v>
      </c>
      <c r="X22" s="114">
        <v>0</v>
      </c>
      <c r="Y22" s="114">
        <v>0</v>
      </c>
      <c r="Z22" s="114">
        <v>0</v>
      </c>
      <c r="AA22" s="115">
        <f t="shared" si="5"/>
        <v>4.919178082191781</v>
      </c>
      <c r="AB22" s="115">
        <f t="shared" si="5"/>
        <v>0</v>
      </c>
      <c r="AC22" s="115">
        <f t="shared" si="5"/>
        <v>0</v>
      </c>
      <c r="AD22" s="115">
        <f t="shared" si="5"/>
        <v>0</v>
      </c>
      <c r="AE22" s="115">
        <f t="shared" si="5"/>
        <v>0</v>
      </c>
      <c r="AF22" s="115">
        <f t="shared" si="5"/>
        <v>0</v>
      </c>
      <c r="AG22" s="61">
        <f>VLOOKUP(base!A22,PSYSAE2023OCTOT!$F$2:$AQ$60,14,FALSE)</f>
        <v>10</v>
      </c>
      <c r="AH22" s="61">
        <v>0</v>
      </c>
      <c r="AI22" s="61">
        <v>0</v>
      </c>
      <c r="AJ22" s="61">
        <f>VLOOKUP(base!A22,PSYSAE2023OCTOT!$F$2:$AQ$60,24,FALSE)</f>
        <v>5035</v>
      </c>
      <c r="AK22" s="61">
        <v>0</v>
      </c>
      <c r="AL22" s="61">
        <v>0</v>
      </c>
      <c r="AM22" s="105">
        <f t="shared" si="6"/>
        <v>1.3794520547945206</v>
      </c>
      <c r="AN22" s="105">
        <v>0</v>
      </c>
      <c r="AO22" s="105">
        <v>0</v>
      </c>
      <c r="AP22" s="61">
        <f t="shared" si="7"/>
        <v>0</v>
      </c>
      <c r="AQ22" s="61">
        <f t="shared" si="7"/>
        <v>0</v>
      </c>
      <c r="AR22" s="61">
        <f t="shared" si="7"/>
        <v>0</v>
      </c>
      <c r="AS22" s="117">
        <f>VLOOKUP(base!A22,PSYSAE2023OCTOT!$F$2:$AQ$60,27,FALSE)</f>
        <v>1</v>
      </c>
      <c r="AT22" s="117">
        <v>0</v>
      </c>
      <c r="AU22" s="117">
        <v>0</v>
      </c>
      <c r="AV22" s="117">
        <f>VLOOKUP(base!A22,PSYSAE2023OCTOT!$F$2:$AQ$60,30,FALSE)</f>
        <v>455</v>
      </c>
      <c r="AW22" s="117">
        <v>0</v>
      </c>
      <c r="AX22" s="117">
        <v>0</v>
      </c>
      <c r="AY22" s="117">
        <v>0</v>
      </c>
      <c r="AZ22" s="117">
        <v>0</v>
      </c>
      <c r="BA22" s="117">
        <v>0</v>
      </c>
      <c r="BB22" s="117">
        <v>0</v>
      </c>
      <c r="BC22" s="223">
        <f>PSYSAE2023OCTOT!AP19</f>
        <v>340</v>
      </c>
      <c r="BD22" s="223">
        <f>PSYSAE2023OCTOT!AQ19</f>
        <v>248</v>
      </c>
      <c r="BE22" s="268">
        <f t="shared" si="8"/>
        <v>92</v>
      </c>
      <c r="BF22" s="61">
        <f>H22/((I22+J22+K22+L22+M22+N22)+($BF$1*(AG22+AH22+AI22))+($BF$2*(AS22+AT22+AU22)))</f>
        <v>63442.481389578163</v>
      </c>
      <c r="BG22" s="124">
        <f>$BF$1*BF22</f>
        <v>57098.233250620346</v>
      </c>
      <c r="BH22" s="124">
        <f t="shared" si="9"/>
        <v>312084.86393147288</v>
      </c>
      <c r="BI22" s="116">
        <f t="shared" si="10"/>
        <v>0</v>
      </c>
      <c r="BJ22" s="116">
        <f t="shared" si="11"/>
        <v>1605464.1360685271</v>
      </c>
      <c r="BK22" s="105">
        <f t="shared" si="12"/>
        <v>0.83724803698290218</v>
      </c>
      <c r="BL22" s="105">
        <f t="shared" si="13"/>
        <v>0.16275196301709782</v>
      </c>
      <c r="BM22" s="272">
        <f t="shared" si="14"/>
        <v>20842.92391304348</v>
      </c>
      <c r="BN22" s="116">
        <f t="shared" si="15"/>
        <v>12973.944519621109</v>
      </c>
    </row>
    <row r="23" spans="1:66" x14ac:dyDescent="0.25">
      <c r="A23" s="76">
        <v>300781424</v>
      </c>
      <c r="B23" s="75" t="str">
        <f>VLOOKUP(base!A23,scansanté2024!$B$12:$L$69,2,FALSE)</f>
        <v>CLINIQUE DU MONT DUPLAN</v>
      </c>
      <c r="C23" s="75" t="str">
        <f>VLOOKUP(base!A23,dotpop24!$B$8:$U$67,3,FALSE)</f>
        <v>EBL</v>
      </c>
      <c r="D23" s="61">
        <f>VLOOKUP(base!A23,scansanté2024!$B$12:$L$69,4,FALSE)</f>
        <v>26264</v>
      </c>
      <c r="E23" s="118">
        <f>VLOOKUP(base!A23,scansanté2024!$B$12:$L$69,7,FALSE)</f>
        <v>731</v>
      </c>
      <c r="F23" s="118">
        <f>VLOOKUP(base!A23,scansanté2024!$B$12:$L$69,8,FALSE)</f>
        <v>0</v>
      </c>
      <c r="G23" s="118">
        <f>VLOOKUP(base!A23,scansanté2024!$B$12:$L$69,11,FALSE)</f>
        <v>512</v>
      </c>
      <c r="H23" s="118">
        <f>VLOOKUP(base!A23,dotpop24!$B$8:$U$67,20,FALSE)</f>
        <v>438152</v>
      </c>
      <c r="I23" s="117">
        <f>VLOOKUP(base!A23,PSYSAE2023OCTOT!$F$2:$AQ$60,7,FALSE)</f>
        <v>63</v>
      </c>
      <c r="J23" s="117">
        <v>0</v>
      </c>
      <c r="K23" s="117">
        <v>0</v>
      </c>
      <c r="L23" s="117">
        <v>0</v>
      </c>
      <c r="M23" s="117">
        <v>0</v>
      </c>
      <c r="N23" s="117">
        <v>0</v>
      </c>
      <c r="O23" s="117">
        <f>VLOOKUP(base!A23,PSYSAE2023OCTOT!$F$2:$AQ$60,18,FALSE)</f>
        <v>21278</v>
      </c>
      <c r="P23" s="117">
        <v>0</v>
      </c>
      <c r="Q23" s="117">
        <v>0</v>
      </c>
      <c r="R23" s="117">
        <v>0</v>
      </c>
      <c r="S23" s="117">
        <v>0</v>
      </c>
      <c r="T23" s="117">
        <v>0</v>
      </c>
      <c r="U23" s="114">
        <f t="shared" si="2"/>
        <v>0.9253315938247445</v>
      </c>
      <c r="V23" s="114">
        <v>0</v>
      </c>
      <c r="W23" s="114">
        <v>0</v>
      </c>
      <c r="X23" s="114">
        <v>0</v>
      </c>
      <c r="Y23" s="114">
        <v>0</v>
      </c>
      <c r="Z23" s="114">
        <v>0</v>
      </c>
      <c r="AA23" s="115">
        <f t="shared" si="5"/>
        <v>0</v>
      </c>
      <c r="AB23" s="115">
        <f t="shared" si="5"/>
        <v>0</v>
      </c>
      <c r="AC23" s="115">
        <f t="shared" si="5"/>
        <v>0</v>
      </c>
      <c r="AD23" s="115">
        <f t="shared" si="5"/>
        <v>0</v>
      </c>
      <c r="AE23" s="115">
        <f t="shared" si="5"/>
        <v>0</v>
      </c>
      <c r="AF23" s="115">
        <f t="shared" si="5"/>
        <v>0</v>
      </c>
      <c r="AG23" s="61">
        <f>VLOOKUP(base!A23,PSYSAE2023OCTOT!$F$2:$AQ$60,14,FALSE)</f>
        <v>8</v>
      </c>
      <c r="AH23" s="61">
        <v>0</v>
      </c>
      <c r="AI23" s="61">
        <v>0</v>
      </c>
      <c r="AJ23" s="61">
        <f>VLOOKUP(base!A23,PSYSAE2023OCTOT!$F$2:$AQ$60,24,FALSE)</f>
        <v>4697</v>
      </c>
      <c r="AK23" s="61">
        <v>0</v>
      </c>
      <c r="AL23" s="61">
        <v>0</v>
      </c>
      <c r="AM23" s="105">
        <f t="shared" si="6"/>
        <v>1.6085616438356165</v>
      </c>
      <c r="AN23" s="105">
        <v>0</v>
      </c>
      <c r="AO23" s="105">
        <v>0</v>
      </c>
      <c r="AP23" s="61">
        <f t="shared" si="7"/>
        <v>0</v>
      </c>
      <c r="AQ23" s="61">
        <f t="shared" si="7"/>
        <v>0</v>
      </c>
      <c r="AR23" s="61">
        <f t="shared" si="7"/>
        <v>0</v>
      </c>
      <c r="AS23" s="117">
        <v>0</v>
      </c>
      <c r="AT23" s="117">
        <v>0</v>
      </c>
      <c r="AU23" s="117">
        <v>0</v>
      </c>
      <c r="AV23" s="117">
        <v>0</v>
      </c>
      <c r="AW23" s="117">
        <v>0</v>
      </c>
      <c r="AX23" s="117">
        <v>0</v>
      </c>
      <c r="AY23" s="117">
        <v>0</v>
      </c>
      <c r="AZ23" s="117">
        <v>0</v>
      </c>
      <c r="BA23" s="117">
        <v>0</v>
      </c>
      <c r="BB23" s="117">
        <v>0</v>
      </c>
      <c r="BC23" s="223">
        <f>PSYSAE2023OCTOT!AP20</f>
        <v>510</v>
      </c>
      <c r="BD23" s="223"/>
      <c r="BE23" s="268">
        <f t="shared" si="8"/>
        <v>510</v>
      </c>
      <c r="BF23" s="61">
        <f>H23/((I23+J23+K23+L23+M23+N23)+($BF$1*(AG23+AH23+AI23))+($BF$2*(AS23+AT23+AU23)))</f>
        <v>6241.4814814814808</v>
      </c>
      <c r="BG23" s="124">
        <f>$BF$1*BF23</f>
        <v>5617.333333333333</v>
      </c>
      <c r="BH23" s="124">
        <f t="shared" si="9"/>
        <v>0</v>
      </c>
      <c r="BI23" s="116">
        <f t="shared" si="10"/>
        <v>0</v>
      </c>
      <c r="BJ23" s="116">
        <f t="shared" si="11"/>
        <v>438152</v>
      </c>
      <c r="BK23" s="105">
        <f t="shared" si="12"/>
        <v>1</v>
      </c>
      <c r="BL23" s="105">
        <f t="shared" si="13"/>
        <v>0</v>
      </c>
      <c r="BM23" s="272">
        <f t="shared" si="14"/>
        <v>859.12156862745098</v>
      </c>
      <c r="BN23" s="116">
        <f t="shared" si="15"/>
        <v>859.12156862745098</v>
      </c>
    </row>
    <row r="24" spans="1:66" x14ac:dyDescent="0.25">
      <c r="A24" s="76">
        <v>310780119</v>
      </c>
      <c r="B24" s="75" t="str">
        <f>VLOOKUP(base!A24,scansanté2024!$B$12:$L$69,2,FALSE)</f>
        <v>CLINIQUE DE MONTBERON</v>
      </c>
      <c r="C24" s="75" t="str">
        <f>VLOOKUP(base!A24,dotpop24!$B$8:$U$67,3,FALSE)</f>
        <v>EBL</v>
      </c>
      <c r="D24" s="61">
        <f>VLOOKUP(base!A24,scansanté2024!$B$12:$L$69,4,FALSE)</f>
        <v>46377</v>
      </c>
      <c r="E24" s="118">
        <f>VLOOKUP(base!A24,scansanté2024!$B$12:$L$69,7,FALSE)</f>
        <v>1456</v>
      </c>
      <c r="F24" s="118">
        <f>VLOOKUP(base!A24,scansanté2024!$B$12:$L$69,8,FALSE)</f>
        <v>0</v>
      </c>
      <c r="G24" s="118">
        <f>VLOOKUP(base!A24,scansanté2024!$B$12:$L$69,11,FALSE)</f>
        <v>1004</v>
      </c>
      <c r="H24" s="118">
        <f>VLOOKUP(base!A24,dotpop24!$B$8:$U$67,20,FALSE)</f>
        <v>812328</v>
      </c>
      <c r="I24" s="117">
        <f>VLOOKUP(base!A24,PSYSAE2023OCTOT!$F$2:$AQ$60,7,FALSE)</f>
        <v>141</v>
      </c>
      <c r="J24" s="117">
        <v>0</v>
      </c>
      <c r="K24" s="117">
        <v>0</v>
      </c>
      <c r="L24" s="117">
        <v>0</v>
      </c>
      <c r="M24" s="117">
        <v>0</v>
      </c>
      <c r="N24" s="117">
        <v>0</v>
      </c>
      <c r="O24" s="117">
        <f>VLOOKUP(base!A24,PSYSAE2023OCTOT!$F$2:$AQ$60,18,FALSE)</f>
        <v>45322</v>
      </c>
      <c r="P24" s="117">
        <v>0</v>
      </c>
      <c r="Q24" s="117">
        <v>0</v>
      </c>
      <c r="R24" s="117">
        <v>0</v>
      </c>
      <c r="S24" s="117">
        <v>0</v>
      </c>
      <c r="T24" s="117">
        <v>0</v>
      </c>
      <c r="U24" s="114">
        <f t="shared" si="2"/>
        <v>0.88063732633828817</v>
      </c>
      <c r="V24" s="114">
        <v>0</v>
      </c>
      <c r="W24" s="114">
        <v>0</v>
      </c>
      <c r="X24" s="114">
        <v>0</v>
      </c>
      <c r="Y24" s="114">
        <v>0</v>
      </c>
      <c r="Z24" s="114">
        <v>0</v>
      </c>
      <c r="AA24" s="115">
        <f t="shared" si="5"/>
        <v>2.7301369863013698</v>
      </c>
      <c r="AB24" s="115">
        <f t="shared" si="5"/>
        <v>0</v>
      </c>
      <c r="AC24" s="115">
        <f t="shared" si="5"/>
        <v>0</v>
      </c>
      <c r="AD24" s="115">
        <f t="shared" si="5"/>
        <v>0</v>
      </c>
      <c r="AE24" s="115">
        <f t="shared" si="5"/>
        <v>0</v>
      </c>
      <c r="AF24" s="115">
        <f t="shared" si="5"/>
        <v>0</v>
      </c>
      <c r="AG24" s="61">
        <f>VLOOKUP(base!A24,PSYSAE2023OCTOT!$F$2:$AQ$60,14,FALSE)</f>
        <v>64</v>
      </c>
      <c r="AH24" s="61">
        <v>0</v>
      </c>
      <c r="AI24" s="61">
        <v>0</v>
      </c>
      <c r="AJ24" s="61">
        <f>VLOOKUP(base!A24,PSYSAE2023OCTOT!$F$2:$AQ$60,24,FALSE)</f>
        <v>1251</v>
      </c>
      <c r="AK24" s="61">
        <v>0</v>
      </c>
      <c r="AL24" s="61">
        <v>0</v>
      </c>
      <c r="AM24" s="105">
        <f t="shared" si="6"/>
        <v>5.3553082191780822E-2</v>
      </c>
      <c r="AN24" s="105">
        <v>0</v>
      </c>
      <c r="AO24" s="105">
        <v>0</v>
      </c>
      <c r="AP24" s="61">
        <f t="shared" si="7"/>
        <v>57.372602739726027</v>
      </c>
      <c r="AQ24" s="61">
        <f t="shared" si="7"/>
        <v>0</v>
      </c>
      <c r="AR24" s="61">
        <f t="shared" si="7"/>
        <v>0</v>
      </c>
      <c r="AS24" s="117">
        <v>0</v>
      </c>
      <c r="AT24" s="117">
        <v>0</v>
      </c>
      <c r="AU24" s="117">
        <v>0</v>
      </c>
      <c r="AV24" s="117">
        <v>0</v>
      </c>
      <c r="AW24" s="117">
        <v>0</v>
      </c>
      <c r="AX24" s="117">
        <v>0</v>
      </c>
      <c r="AY24" s="117">
        <v>0</v>
      </c>
      <c r="AZ24" s="117">
        <v>0</v>
      </c>
      <c r="BA24" s="117">
        <v>0</v>
      </c>
      <c r="BB24" s="117">
        <v>0</v>
      </c>
      <c r="BC24" s="223">
        <f>PSYSAE2023OCTOT!AP21</f>
        <v>862</v>
      </c>
      <c r="BD24" s="223"/>
      <c r="BE24" s="268">
        <f t="shared" si="8"/>
        <v>862</v>
      </c>
      <c r="BF24" s="61">
        <f>H24/((I24+J24+K24+L24+M24+N24)+($BF$1*(AG24+AH24+AI24))+($BF$2*(AS24+AT24+AU24)))</f>
        <v>4090.2719033232629</v>
      </c>
      <c r="BG24" s="124">
        <f>$BF$1*BF24</f>
        <v>3681.2447129909365</v>
      </c>
      <c r="BH24" s="124">
        <f t="shared" si="9"/>
        <v>11167.002607292141</v>
      </c>
      <c r="BI24" s="116">
        <f t="shared" si="10"/>
        <v>211202.59050614576</v>
      </c>
      <c r="BJ24" s="116">
        <f t="shared" si="11"/>
        <v>589958.40688656212</v>
      </c>
      <c r="BK24" s="105">
        <f t="shared" si="12"/>
        <v>0.72625639752238269</v>
      </c>
      <c r="BL24" s="105">
        <f t="shared" si="13"/>
        <v>0.27374360247761731</v>
      </c>
      <c r="BM24" s="272">
        <f t="shared" si="14"/>
        <v>942.37587006960553</v>
      </c>
      <c r="BN24" s="116">
        <f t="shared" si="15"/>
        <v>942.37587006960553</v>
      </c>
    </row>
    <row r="25" spans="1:66" ht="25.5" x14ac:dyDescent="0.25">
      <c r="A25" s="76">
        <v>310780143</v>
      </c>
      <c r="B25" s="75" t="str">
        <f>VLOOKUP(base!A25,scansanté2024!$B$12:$L$69,2,FALSE)</f>
        <v>CLINIQUE DU CHATEAU DE SEYSSES</v>
      </c>
      <c r="C25" s="75" t="str">
        <f>VLOOKUP(base!A25,dotpop24!$B$8:$U$67,3,FALSE)</f>
        <v>EBL</v>
      </c>
      <c r="D25" s="61">
        <f>VLOOKUP(base!A25,scansanté2024!$B$12:$L$69,4,FALSE)</f>
        <v>49135</v>
      </c>
      <c r="E25" s="118">
        <f>VLOOKUP(base!A25,scansanté2024!$B$12:$L$69,7,FALSE)</f>
        <v>1546</v>
      </c>
      <c r="F25" s="118">
        <f>VLOOKUP(base!A25,scansanté2024!$B$12:$L$69,8,FALSE)</f>
        <v>0</v>
      </c>
      <c r="G25" s="118">
        <f>VLOOKUP(base!A25,scansanté2024!$B$12:$L$69,11,FALSE)</f>
        <v>1106</v>
      </c>
      <c r="H25" s="118">
        <f>VLOOKUP(base!A25,dotpop24!$B$8:$U$67,20,FALSE)</f>
        <v>855304</v>
      </c>
      <c r="I25" s="117">
        <f>VLOOKUP(base!A25,PSYSAE2023OCTOT!$F$2:$AQ$60,7,FALSE)</f>
        <v>255</v>
      </c>
      <c r="J25" s="117">
        <v>0</v>
      </c>
      <c r="K25" s="117">
        <v>0</v>
      </c>
      <c r="L25" s="117">
        <v>0</v>
      </c>
      <c r="M25" s="117">
        <v>0</v>
      </c>
      <c r="N25" s="117">
        <v>0</v>
      </c>
      <c r="O25" s="117">
        <f>VLOOKUP(base!A25,PSYSAE2023OCTOT!$F$2:$AQ$60,18,FALSE)</f>
        <v>92230</v>
      </c>
      <c r="P25" s="117">
        <v>0</v>
      </c>
      <c r="Q25" s="117">
        <v>0</v>
      </c>
      <c r="R25" s="117">
        <v>0</v>
      </c>
      <c r="S25" s="117">
        <v>0</v>
      </c>
      <c r="T25" s="117">
        <v>0</v>
      </c>
      <c r="U25" s="114">
        <f t="shared" si="2"/>
        <v>0.99092130002686007</v>
      </c>
      <c r="V25" s="114">
        <v>0</v>
      </c>
      <c r="W25" s="114">
        <v>0</v>
      </c>
      <c r="X25" s="114">
        <v>0</v>
      </c>
      <c r="Y25" s="114">
        <v>0</v>
      </c>
      <c r="Z25" s="114">
        <v>0</v>
      </c>
      <c r="AA25" s="115">
        <f t="shared" si="5"/>
        <v>0</v>
      </c>
      <c r="AB25" s="115">
        <f t="shared" si="5"/>
        <v>0</v>
      </c>
      <c r="AC25" s="115">
        <f t="shared" si="5"/>
        <v>0</v>
      </c>
      <c r="AD25" s="115">
        <f t="shared" si="5"/>
        <v>0</v>
      </c>
      <c r="AE25" s="115">
        <f t="shared" si="5"/>
        <v>0</v>
      </c>
      <c r="AF25" s="115">
        <f t="shared" si="5"/>
        <v>0</v>
      </c>
      <c r="AG25" s="61">
        <f>VLOOKUP(base!A25,PSYSAE2023OCTOT!$F$2:$AQ$60,14,FALSE)</f>
        <v>26</v>
      </c>
      <c r="AH25" s="61">
        <v>0</v>
      </c>
      <c r="AI25" s="61">
        <v>0</v>
      </c>
      <c r="AJ25" s="61">
        <f>VLOOKUP(base!A25,PSYSAE2023OCTOT!$F$2:$AQ$60,24,FALSE)</f>
        <v>6154</v>
      </c>
      <c r="AK25" s="61">
        <v>0</v>
      </c>
      <c r="AL25" s="61">
        <v>0</v>
      </c>
      <c r="AM25" s="105">
        <f t="shared" si="6"/>
        <v>0.6484720758693362</v>
      </c>
      <c r="AN25" s="105">
        <v>0</v>
      </c>
      <c r="AO25" s="105">
        <v>0</v>
      </c>
      <c r="AP25" s="61">
        <f t="shared" si="7"/>
        <v>7.8397260273972575</v>
      </c>
      <c r="AQ25" s="61">
        <f t="shared" si="7"/>
        <v>0</v>
      </c>
      <c r="AR25" s="61">
        <f t="shared" si="7"/>
        <v>0</v>
      </c>
      <c r="AS25" s="117">
        <v>0</v>
      </c>
      <c r="AT25" s="117">
        <v>0</v>
      </c>
      <c r="AU25" s="117">
        <v>0</v>
      </c>
      <c r="AV25" s="117">
        <v>0</v>
      </c>
      <c r="AW25" s="117">
        <v>0</v>
      </c>
      <c r="AX25" s="117">
        <v>0</v>
      </c>
      <c r="AY25" s="117">
        <v>0</v>
      </c>
      <c r="AZ25" s="117">
        <v>0</v>
      </c>
      <c r="BA25" s="117">
        <v>0</v>
      </c>
      <c r="BB25" s="117">
        <v>0</v>
      </c>
      <c r="BC25" s="223">
        <f>PSYSAE2023OCTOT!AP22</f>
        <v>2062</v>
      </c>
      <c r="BD25" s="223"/>
      <c r="BE25" s="268">
        <f t="shared" si="8"/>
        <v>2062</v>
      </c>
      <c r="BF25" s="61">
        <f>H25/((I25+J25+K25+L25+M25+N25)+($BF$1*(AG25+AH25+AI25))+($BF$2*(AS25+AT25+AU25)))</f>
        <v>3072.2126436781614</v>
      </c>
      <c r="BG25" s="124">
        <f>$BF$1*BF25</f>
        <v>2764.9913793103451</v>
      </c>
      <c r="BH25" s="124">
        <f t="shared" si="9"/>
        <v>0</v>
      </c>
      <c r="BI25" s="116">
        <f t="shared" si="10"/>
        <v>21676.774881908357</v>
      </c>
      <c r="BJ25" s="116">
        <f t="shared" si="11"/>
        <v>833627.22511809168</v>
      </c>
      <c r="BK25" s="105">
        <f t="shared" si="12"/>
        <v>0.97465605810108646</v>
      </c>
      <c r="BL25" s="105">
        <f t="shared" si="13"/>
        <v>2.5343941898913536E-2</v>
      </c>
      <c r="BM25" s="272">
        <f t="shared" si="14"/>
        <v>414.79340446168766</v>
      </c>
      <c r="BN25" s="116">
        <f t="shared" si="15"/>
        <v>414.79340446168766</v>
      </c>
    </row>
    <row r="26" spans="1:66" ht="25.5" x14ac:dyDescent="0.25">
      <c r="A26" s="76">
        <v>310780358</v>
      </c>
      <c r="B26" s="75" t="str">
        <f>VLOOKUP(base!A26,scansanté2024!$B$12:$L$69,2,FALSE)</f>
        <v>SA MAISON DE SANTÉ MAILHOL</v>
      </c>
      <c r="C26" s="75" t="str">
        <f>VLOOKUP(base!A26,dotpop24!$B$8:$U$67,3,FALSE)</f>
        <v>EBL</v>
      </c>
      <c r="D26" s="61">
        <f>VLOOKUP(base!A26,scansanté2024!$B$12:$L$69,4,FALSE)</f>
        <v>38885</v>
      </c>
      <c r="E26" s="118">
        <f>VLOOKUP(base!A26,scansanté2024!$B$12:$L$69,7,FALSE)</f>
        <v>1450</v>
      </c>
      <c r="F26" s="118">
        <f>VLOOKUP(base!A26,scansanté2024!$B$12:$L$69,8,FALSE)</f>
        <v>0</v>
      </c>
      <c r="G26" s="118">
        <f>VLOOKUP(base!A26,scansanté2024!$B$12:$L$69,11,FALSE)</f>
        <v>753</v>
      </c>
      <c r="H26" s="118">
        <f>VLOOKUP(base!A26,dotpop24!$B$8:$U$67,20,FALSE)</f>
        <v>795880</v>
      </c>
      <c r="I26" s="117">
        <f>VLOOKUP(base!A26,PSYSAE2023OCTOT!$F$2:$AQ$60,7,FALSE)</f>
        <v>100</v>
      </c>
      <c r="J26" s="117">
        <v>0</v>
      </c>
      <c r="K26" s="117">
        <v>0</v>
      </c>
      <c r="L26" s="117">
        <v>0</v>
      </c>
      <c r="M26" s="117">
        <v>0</v>
      </c>
      <c r="N26" s="117">
        <v>0</v>
      </c>
      <c r="O26" s="117">
        <f>VLOOKUP(base!A26,PSYSAE2023OCTOT!$F$2:$AQ$60,18,FALSE)</f>
        <v>35875</v>
      </c>
      <c r="P26" s="117">
        <v>0</v>
      </c>
      <c r="Q26" s="117">
        <v>0</v>
      </c>
      <c r="R26" s="117">
        <v>0</v>
      </c>
      <c r="S26" s="117">
        <v>0</v>
      </c>
      <c r="T26" s="117">
        <v>0</v>
      </c>
      <c r="U26" s="114">
        <f t="shared" si="2"/>
        <v>0.98287671232876717</v>
      </c>
      <c r="V26" s="114">
        <v>0</v>
      </c>
      <c r="W26" s="114">
        <v>0</v>
      </c>
      <c r="X26" s="114">
        <v>0</v>
      </c>
      <c r="Y26" s="114">
        <v>0</v>
      </c>
      <c r="Z26" s="114">
        <v>0</v>
      </c>
      <c r="AA26" s="115">
        <f t="shared" si="5"/>
        <v>0</v>
      </c>
      <c r="AB26" s="115">
        <f t="shared" si="5"/>
        <v>0</v>
      </c>
      <c r="AC26" s="115">
        <f t="shared" si="5"/>
        <v>0</v>
      </c>
      <c r="AD26" s="115">
        <f t="shared" si="5"/>
        <v>0</v>
      </c>
      <c r="AE26" s="115">
        <f t="shared" si="5"/>
        <v>0</v>
      </c>
      <c r="AF26" s="115">
        <f t="shared" si="5"/>
        <v>0</v>
      </c>
      <c r="AG26" s="61">
        <f>VLOOKUP(base!A26,PSYSAE2023OCTOT!$F$2:$AQ$60,14,FALSE)</f>
        <v>6</v>
      </c>
      <c r="AH26" s="61">
        <v>0</v>
      </c>
      <c r="AI26" s="61">
        <f>VLOOKUP(base!A26,PSYSAE2023OCTOT!$F$2:$AQ$60,16,FALSE)</f>
        <v>1</v>
      </c>
      <c r="AJ26" s="61">
        <f>VLOOKUP(base!A26,PSYSAE2023OCTOT!$F$2:$AQ$60,24,FALSE)</f>
        <v>1225</v>
      </c>
      <c r="AK26" s="61">
        <v>0</v>
      </c>
      <c r="AL26" s="61">
        <f>VLOOKUP(base!A26,PSYSAE2023OCTOT!$F$2:$AQ$60,26,FALSE)</f>
        <v>1031</v>
      </c>
      <c r="AM26" s="105">
        <f t="shared" si="6"/>
        <v>0.55936073059360736</v>
      </c>
      <c r="AN26" s="105">
        <v>0</v>
      </c>
      <c r="AO26" s="105">
        <f t="shared" si="17"/>
        <v>2.8246575342465752</v>
      </c>
      <c r="AP26" s="61">
        <f t="shared" si="7"/>
        <v>2.3438356164383554</v>
      </c>
      <c r="AQ26" s="61">
        <f t="shared" si="7"/>
        <v>0</v>
      </c>
      <c r="AR26" s="61">
        <f t="shared" si="7"/>
        <v>0</v>
      </c>
      <c r="AS26" s="117">
        <v>0</v>
      </c>
      <c r="AT26" s="117">
        <v>0</v>
      </c>
      <c r="AU26" s="117">
        <v>0</v>
      </c>
      <c r="AV26" s="117">
        <v>0</v>
      </c>
      <c r="AW26" s="117">
        <v>0</v>
      </c>
      <c r="AX26" s="117">
        <v>0</v>
      </c>
      <c r="AY26" s="117">
        <v>0</v>
      </c>
      <c r="AZ26" s="117">
        <v>0</v>
      </c>
      <c r="BA26" s="117">
        <v>0</v>
      </c>
      <c r="BB26" s="117">
        <v>0</v>
      </c>
      <c r="BC26" s="223">
        <f>PSYSAE2023OCTOT!AP23</f>
        <v>839</v>
      </c>
      <c r="BD26" s="223"/>
      <c r="BE26" s="268">
        <f t="shared" si="8"/>
        <v>839</v>
      </c>
      <c r="BF26" s="61">
        <f>H26/((I26+J26+K26+L26+M26+N26)+($BF$1*(AG26+AH26+AI26))+($BF$2*(AS26+AT26+AU26)))</f>
        <v>7487.1119473189092</v>
      </c>
      <c r="BG26" s="124">
        <f>$BF$1*BF26</f>
        <v>6738.4007525870184</v>
      </c>
      <c r="BH26" s="124">
        <f t="shared" si="9"/>
        <v>0</v>
      </c>
      <c r="BI26" s="116">
        <f t="shared" si="10"/>
        <v>15793.703681748471</v>
      </c>
      <c r="BJ26" s="116">
        <f t="shared" si="11"/>
        <v>780086.29631825152</v>
      </c>
      <c r="BK26" s="105">
        <f t="shared" si="12"/>
        <v>0.98015567210917665</v>
      </c>
      <c r="BL26" s="105">
        <f t="shared" si="13"/>
        <v>1.9844327890823354E-2</v>
      </c>
      <c r="BM26" s="272">
        <f t="shared" si="14"/>
        <v>948.60548271752089</v>
      </c>
      <c r="BN26" s="116">
        <f t="shared" si="15"/>
        <v>948.60548271752089</v>
      </c>
    </row>
    <row r="27" spans="1:66" x14ac:dyDescent="0.25">
      <c r="A27" s="76">
        <v>310780390</v>
      </c>
      <c r="B27" s="75" t="str">
        <f>VLOOKUP(base!A27,scansanté2024!$B$12:$L$69,2,FALSE)</f>
        <v>CLINIQUE DE BEAUPUY</v>
      </c>
      <c r="C27" s="75" t="str">
        <f>VLOOKUP(base!A27,dotpop24!$B$8:$U$67,3,FALSE)</f>
        <v>EBL</v>
      </c>
      <c r="D27" s="61">
        <f>VLOOKUP(base!A27,scansanté2024!$B$12:$L$69,4,FALSE)</f>
        <v>58561</v>
      </c>
      <c r="E27" s="118">
        <f>VLOOKUP(base!A27,scansanté2024!$B$12:$L$69,7,FALSE)</f>
        <v>1593</v>
      </c>
      <c r="F27" s="118">
        <f>VLOOKUP(base!A27,scansanté2024!$B$12:$L$69,8,FALSE)</f>
        <v>0</v>
      </c>
      <c r="G27" s="118">
        <f>VLOOKUP(base!A27,scansanté2024!$B$12:$L$69,11,FALSE)</f>
        <v>1056</v>
      </c>
      <c r="H27" s="118">
        <f>VLOOKUP(base!A27,dotpop24!$B$8:$U$67,20,FALSE)</f>
        <v>2262211</v>
      </c>
      <c r="I27" s="117">
        <f>VLOOKUP(base!A27,PSYSAE2023OCTOT!$F$2:$AQ$60,7,FALSE)</f>
        <v>168</v>
      </c>
      <c r="J27" s="117">
        <v>0</v>
      </c>
      <c r="K27" s="117">
        <v>0</v>
      </c>
      <c r="L27" s="117">
        <v>0</v>
      </c>
      <c r="M27" s="117">
        <v>0</v>
      </c>
      <c r="N27" s="117">
        <f>VLOOKUP(base!A27,PSYSAE2023OCTOT!$F$2:$AQ$60,12,FALSE)</f>
        <v>15</v>
      </c>
      <c r="O27" s="117">
        <f>VLOOKUP(base!A27,PSYSAE2023OCTOT!$F$2:$AQ$60,18,FALSE)</f>
        <v>54100</v>
      </c>
      <c r="P27" s="117">
        <v>0</v>
      </c>
      <c r="Q27" s="117">
        <v>0</v>
      </c>
      <c r="R27" s="117">
        <v>0</v>
      </c>
      <c r="S27" s="117">
        <v>0</v>
      </c>
      <c r="T27" s="117">
        <f>VLOOKUP(base!A27,PSYSAE2023OCTOT!$F$2:$AQ$60,23,FALSE)</f>
        <v>2747</v>
      </c>
      <c r="U27" s="114">
        <f t="shared" si="2"/>
        <v>0.88225701239399867</v>
      </c>
      <c r="V27" s="114">
        <v>0</v>
      </c>
      <c r="W27" s="114">
        <v>0</v>
      </c>
      <c r="X27" s="114">
        <v>0</v>
      </c>
      <c r="Y27" s="114">
        <v>0</v>
      </c>
      <c r="Z27" s="114">
        <f t="shared" si="4"/>
        <v>0.50173515981735162</v>
      </c>
      <c r="AA27" s="115">
        <f t="shared" si="5"/>
        <v>2.9808219178082194</v>
      </c>
      <c r="AB27" s="115">
        <f t="shared" si="5"/>
        <v>0</v>
      </c>
      <c r="AC27" s="115">
        <f t="shared" si="5"/>
        <v>0</v>
      </c>
      <c r="AD27" s="115">
        <f t="shared" si="5"/>
        <v>0</v>
      </c>
      <c r="AE27" s="115">
        <f t="shared" si="5"/>
        <v>0</v>
      </c>
      <c r="AF27" s="115">
        <f t="shared" si="5"/>
        <v>5.9739726027397264</v>
      </c>
      <c r="AG27" s="61">
        <v>0</v>
      </c>
      <c r="AH27" s="61">
        <v>0</v>
      </c>
      <c r="AI27" s="61">
        <v>0</v>
      </c>
      <c r="AJ27" s="61">
        <v>0</v>
      </c>
      <c r="AK27" s="61">
        <v>0</v>
      </c>
      <c r="AL27" s="61">
        <v>0</v>
      </c>
      <c r="AM27" s="105">
        <v>0</v>
      </c>
      <c r="AN27" s="105">
        <v>0</v>
      </c>
      <c r="AO27" s="105">
        <v>0</v>
      </c>
      <c r="AP27" s="61">
        <f t="shared" si="7"/>
        <v>0</v>
      </c>
      <c r="AQ27" s="61">
        <f t="shared" si="7"/>
        <v>0</v>
      </c>
      <c r="AR27" s="61">
        <f t="shared" si="7"/>
        <v>0</v>
      </c>
      <c r="AS27" s="117">
        <v>0</v>
      </c>
      <c r="AT27" s="117">
        <v>0</v>
      </c>
      <c r="AU27" s="117">
        <v>0</v>
      </c>
      <c r="AV27" s="117">
        <v>0</v>
      </c>
      <c r="AW27" s="117">
        <v>0</v>
      </c>
      <c r="AX27" s="117">
        <v>0</v>
      </c>
      <c r="AY27" s="117">
        <v>0</v>
      </c>
      <c r="AZ27" s="117">
        <v>0</v>
      </c>
      <c r="BA27" s="117">
        <v>0</v>
      </c>
      <c r="BB27" s="117">
        <v>0</v>
      </c>
      <c r="BC27" s="223">
        <f>PSYSAE2023OCTOT!AP24</f>
        <v>910</v>
      </c>
      <c r="BD27" s="223"/>
      <c r="BE27" s="268">
        <f t="shared" si="8"/>
        <v>910</v>
      </c>
      <c r="BF27" s="61">
        <f>H27/((I27+J27+K27+L27+M27+N27)+($BF$1*(AG27+AH27+AI27))+($BF$2*(AS27+AT27+AU27)))</f>
        <v>12361.808743169398</v>
      </c>
      <c r="BG27" s="124">
        <f>$BF$1*BF27</f>
        <v>11125.627868852458</v>
      </c>
      <c r="BH27" s="124">
        <f t="shared" si="9"/>
        <v>110697.45719739502</v>
      </c>
      <c r="BI27" s="116">
        <f t="shared" si="10"/>
        <v>0</v>
      </c>
      <c r="BJ27" s="116">
        <f t="shared" si="11"/>
        <v>2151513.5428026048</v>
      </c>
      <c r="BK27" s="105">
        <f t="shared" si="12"/>
        <v>0.95106669660902754</v>
      </c>
      <c r="BL27" s="105">
        <f t="shared" si="13"/>
        <v>4.893330339097246E-2</v>
      </c>
      <c r="BM27" s="272">
        <f t="shared" si="14"/>
        <v>2485.9461538461537</v>
      </c>
      <c r="BN27" s="116">
        <f t="shared" si="15"/>
        <v>2485.9461538461537</v>
      </c>
    </row>
    <row r="28" spans="1:66" s="220" customFormat="1" x14ac:dyDescent="0.25">
      <c r="A28" s="212">
        <v>310780754</v>
      </c>
      <c r="B28" s="213" t="str">
        <f>VLOOKUP(base!A28,scansanté2024!$B$12:$L$69,2,FALSE)</f>
        <v>CH GERARD MARCHANT</v>
      </c>
      <c r="C28" s="213" t="str">
        <f>VLOOKUP(base!A28,dotpop24!$B$8:$U$67,3,FALSE)</f>
        <v>EPS</v>
      </c>
      <c r="D28" s="214">
        <f>VLOOKUP(base!A28,scansanté2024!$B$12:$L$69,4,FALSE)</f>
        <v>129594</v>
      </c>
      <c r="E28" s="215">
        <f>VLOOKUP(base!A28,scansanté2024!$B$12:$L$69,7,FALSE)</f>
        <v>4895</v>
      </c>
      <c r="F28" s="215">
        <f>VLOOKUP(base!A28,scansanté2024!$B$12:$L$69,8,FALSE)</f>
        <v>234110</v>
      </c>
      <c r="G28" s="215">
        <f>VLOOKUP(base!A28,scansanté2024!$B$12:$L$69,11,FALSE)</f>
        <v>12473</v>
      </c>
      <c r="H28" s="215">
        <f>VLOOKUP(base!A28,dotpop24!$B$8:$U$67,20,FALSE)</f>
        <v>67889198</v>
      </c>
      <c r="I28" s="216">
        <f>VLOOKUP(base!A28,PSYSAE2023OCTOT!$F$2:$AQ$60,7,FALSE)</f>
        <v>264</v>
      </c>
      <c r="J28" s="216">
        <f>VLOOKUP(base!A28,PSYSAE2023OCTOT!$F$2:$AQ$60,8,FALSE)</f>
        <v>13</v>
      </c>
      <c r="K28" s="216">
        <f>VLOOKUP(base!A28,PSYSAE2023OCTOT!$F$2:$AQ$60,9,FALSE)</f>
        <v>19</v>
      </c>
      <c r="L28" s="216">
        <f>VLOOKUP(base!A28,PSYSAE2023OCTOT!$F$2:$AQ$60,10,FALSE)</f>
        <v>27</v>
      </c>
      <c r="M28" s="216">
        <f>VLOOKUP(base!A28,PSYSAE2023OCTOT!$F$2:$AQ$60,11,FALSE)</f>
        <v>8</v>
      </c>
      <c r="N28" s="216">
        <f>VLOOKUP(base!A28,PSYSAE2023OCTOT!$F$2:$AQ$60,12,FALSE)</f>
        <v>15</v>
      </c>
      <c r="O28" s="216">
        <f>VLOOKUP(base!A28,PSYSAE2023OCTOT!$F$2:$AQ$60,18,FALSE)</f>
        <v>82142</v>
      </c>
      <c r="P28" s="216">
        <f>VLOOKUP(base!A28,PSYSAE2023OCTOT!$F$2:$AQ$60,19,FALSE)</f>
        <v>2819</v>
      </c>
      <c r="Q28" s="216">
        <f>VLOOKUP(base!A28,PSYSAE2023OCTOT!$F$2:$AQ$60,20,FALSE)</f>
        <v>5608</v>
      </c>
      <c r="R28" s="216">
        <f>VLOOKUP(base!A28,PSYSAE2023OCTOT!$F$2:$AQ$60,21,FALSE)</f>
        <v>7715</v>
      </c>
      <c r="S28" s="216">
        <f>VLOOKUP(base!A28,PSYSAE2023OCTOT!$F$2:$AQ$60,22,FALSE)</f>
        <v>2226</v>
      </c>
      <c r="T28" s="216">
        <f>VLOOKUP(base!A28,PSYSAE2023OCTOT!$F$2:$AQ$60,23,FALSE)</f>
        <v>2833</v>
      </c>
      <c r="U28" s="217">
        <f t="shared" si="2"/>
        <v>0.85244914902449154</v>
      </c>
      <c r="V28" s="217">
        <f t="shared" si="3"/>
        <v>0.59409905163329824</v>
      </c>
      <c r="W28" s="217">
        <f t="shared" si="4"/>
        <v>0.80865176640230718</v>
      </c>
      <c r="X28" s="217">
        <f t="shared" si="4"/>
        <v>0.78285134449518012</v>
      </c>
      <c r="Y28" s="217">
        <f t="shared" si="4"/>
        <v>0.76232876712328768</v>
      </c>
      <c r="Z28" s="217">
        <f t="shared" si="4"/>
        <v>0.51744292237442924</v>
      </c>
      <c r="AA28" s="218">
        <f t="shared" si="5"/>
        <v>12.553424657534247</v>
      </c>
      <c r="AB28" s="218">
        <f t="shared" si="5"/>
        <v>3.9767123287671233</v>
      </c>
      <c r="AC28" s="218">
        <f t="shared" si="5"/>
        <v>1.7356164383561643</v>
      </c>
      <c r="AD28" s="218">
        <f t="shared" si="5"/>
        <v>3.1630136986301371</v>
      </c>
      <c r="AE28" s="218">
        <f t="shared" si="5"/>
        <v>1.1013698630136985</v>
      </c>
      <c r="AF28" s="218">
        <f t="shared" si="5"/>
        <v>5.7383561643835614</v>
      </c>
      <c r="AG28" s="214">
        <f>VLOOKUP(base!A28,PSYSAE2023OCTOT!$F$2:$AQ$60,14,FALSE)</f>
        <v>173</v>
      </c>
      <c r="AH28" s="214">
        <f>VLOOKUP(base!A28,PSYSAE2023OCTOT!$F$2:$AQ$60,15,FALSE)</f>
        <v>1</v>
      </c>
      <c r="AI28" s="214">
        <v>0</v>
      </c>
      <c r="AJ28" s="214">
        <f>VLOOKUP(base!A28,PSYSAE2023OCTOT!$F$2:$AQ$60,24,FALSE)</f>
        <v>27152</v>
      </c>
      <c r="AK28" s="214">
        <f>VLOOKUP(base!A28,PSYSAE2023OCTOT!$F$2:$AQ$60,25,FALSE)</f>
        <v>0</v>
      </c>
      <c r="AL28" s="214">
        <v>0</v>
      </c>
      <c r="AM28" s="219">
        <f t="shared" si="6"/>
        <v>0.42999445720167867</v>
      </c>
      <c r="AN28" s="219">
        <f t="shared" si="16"/>
        <v>0</v>
      </c>
      <c r="AO28" s="219">
        <v>0</v>
      </c>
      <c r="AP28" s="214">
        <f t="shared" si="7"/>
        <v>89.960958904109589</v>
      </c>
      <c r="AQ28" s="214">
        <f t="shared" si="7"/>
        <v>0.95</v>
      </c>
      <c r="AR28" s="214">
        <f t="shared" si="7"/>
        <v>0</v>
      </c>
      <c r="AS28" s="216">
        <f>VLOOKUP(base!A28,PSYSAE2023OCTOT!$F$2:$AQ$60,27,FALSE)</f>
        <v>18</v>
      </c>
      <c r="AT28" s="216">
        <f>VLOOKUP(base!A28,PSYSAE2023OCTOT!$F$2:$AQ$60,28,FALSE)</f>
        <v>0</v>
      </c>
      <c r="AU28" s="216">
        <f>VLOOKUP(base!A28,PSYSAE2023OCTOT!$F$2:$AQ$60,29,FALSE)</f>
        <v>17</v>
      </c>
      <c r="AV28" s="216">
        <f>VLOOKUP(base!A28,PSYSAE2023OCTOT!$F$2:$AQ$60,30,FALSE)</f>
        <v>76017</v>
      </c>
      <c r="AW28" s="216">
        <f>VLOOKUP(base!A28,PSYSAE2023OCTOT!$F$2:$AQ$60,31,FALSE)</f>
        <v>0</v>
      </c>
      <c r="AX28" s="216">
        <f>VLOOKUP(base!A28,PSYSAE2023OCTOT!$F$2:$AQ$60,32,FALSE)</f>
        <v>55010</v>
      </c>
      <c r="AY28" s="216">
        <f>VLOOKUP(base!A28,PSYSAE2023OCTOT!$F$2:$AQ$60,33,FALSE)</f>
        <v>34871</v>
      </c>
      <c r="AZ28" s="216">
        <f>VLOOKUP(base!A28,PSYSAE2023OCTOT!$F$2:$AQ$60,34,FALSE)</f>
        <v>321</v>
      </c>
      <c r="BA28" s="216">
        <f>VLOOKUP(base!A28,PSYSAE2023OCTOT!$F$2:$AQ$60,35,FALSE)</f>
        <v>19</v>
      </c>
      <c r="BB28" s="216">
        <f>VLOOKUP(base!A28,PSYSAE2023OCTOT!$F$2:$AQ$60,36,FALSE)</f>
        <v>4893</v>
      </c>
      <c r="BC28" s="224">
        <f>PSYSAE2023OCTOT!AP25</f>
        <v>11681</v>
      </c>
      <c r="BD28" s="224">
        <f>PSYSAE2023OCTOT!AQ25</f>
        <v>9712</v>
      </c>
      <c r="BE28" s="268">
        <f t="shared" si="8"/>
        <v>1969</v>
      </c>
      <c r="BF28" s="214">
        <f>H28/((I28+J28+K28+L28+M28+N28)+($BF$1*(AG28+AH28+AI28))+($BF$2*(AS28+AT28+AU28)))</f>
        <v>132992.20921690582</v>
      </c>
      <c r="BG28" s="261">
        <f>$BF$1*BF28</f>
        <v>119692.98829521524</v>
      </c>
      <c r="BH28" s="124">
        <f t="shared" si="9"/>
        <v>3759489.3553425595</v>
      </c>
      <c r="BI28" s="116">
        <f t="shared" si="10"/>
        <v>10881404.340016384</v>
      </c>
      <c r="BJ28" s="116">
        <f t="shared" si="11"/>
        <v>53248304.304641053</v>
      </c>
      <c r="BK28" s="105">
        <f t="shared" si="12"/>
        <v>0.7843413366680374</v>
      </c>
      <c r="BL28" s="105">
        <f t="shared" si="13"/>
        <v>0.2156586633319626</v>
      </c>
      <c r="BM28" s="272">
        <f t="shared" si="14"/>
        <v>34479.023869984761</v>
      </c>
      <c r="BN28" s="116">
        <f t="shared" si="15"/>
        <v>16342.303692648402</v>
      </c>
    </row>
    <row r="29" spans="1:66" ht="25.5" x14ac:dyDescent="0.25">
      <c r="A29" s="119">
        <v>310780895</v>
      </c>
      <c r="B29" s="75" t="str">
        <f>VLOOKUP(base!A29,scansanté2024!$B$12:$L$69,2,FALSE)</f>
        <v>HDJ PSY INF JUV LES AUTANS ARSEAA</v>
      </c>
      <c r="C29" s="75" t="str">
        <f>VLOOKUP(base!A29,dotpop24!$B$8:$U$67,3,FALSE)</f>
        <v>EBNL</v>
      </c>
      <c r="D29" s="61">
        <f>VLOOKUP(base!A29,scansanté2024!$B$12:$L$69,4,FALSE)</f>
        <v>7011</v>
      </c>
      <c r="E29" s="118">
        <f>VLOOKUP(base!A29,scansanté2024!$B$12:$L$69,7,FALSE)</f>
        <v>180</v>
      </c>
      <c r="F29" s="118">
        <f>VLOOKUP(base!A29,scansanté2024!$B$12:$L$69,8,FALSE)</f>
        <v>57341</v>
      </c>
      <c r="G29" s="118">
        <f>VLOOKUP(base!A29,scansanté2024!$B$12:$L$69,11,FALSE)</f>
        <v>4147</v>
      </c>
      <c r="H29" s="118">
        <f>VLOOKUP(base!A29,dotpop24!$B$8:$U$67,20,FALSE)</f>
        <v>11428182</v>
      </c>
      <c r="I29" s="117">
        <v>0</v>
      </c>
      <c r="J29" s="117">
        <v>0</v>
      </c>
      <c r="K29" s="117">
        <v>0</v>
      </c>
      <c r="L29" s="117">
        <v>0</v>
      </c>
      <c r="M29" s="117">
        <v>0</v>
      </c>
      <c r="N29" s="117">
        <v>0</v>
      </c>
      <c r="O29" s="117">
        <v>0</v>
      </c>
      <c r="P29" s="117">
        <v>0</v>
      </c>
      <c r="Q29" s="117">
        <v>0</v>
      </c>
      <c r="R29" s="117">
        <v>0</v>
      </c>
      <c r="S29" s="117">
        <v>0</v>
      </c>
      <c r="T29" s="117">
        <v>0</v>
      </c>
      <c r="U29" s="114">
        <v>0</v>
      </c>
      <c r="V29" s="114">
        <v>0</v>
      </c>
      <c r="W29" s="114">
        <v>0</v>
      </c>
      <c r="X29" s="114">
        <v>0</v>
      </c>
      <c r="Y29" s="114">
        <v>0</v>
      </c>
      <c r="Z29" s="114">
        <v>0</v>
      </c>
      <c r="AA29" s="115">
        <f t="shared" si="5"/>
        <v>0</v>
      </c>
      <c r="AB29" s="115">
        <f t="shared" si="5"/>
        <v>0</v>
      </c>
      <c r="AC29" s="115">
        <f t="shared" si="5"/>
        <v>0</v>
      </c>
      <c r="AD29" s="115">
        <f t="shared" si="5"/>
        <v>0</v>
      </c>
      <c r="AE29" s="115">
        <f t="shared" si="5"/>
        <v>0</v>
      </c>
      <c r="AF29" s="115">
        <f t="shared" si="5"/>
        <v>0</v>
      </c>
      <c r="AG29" s="61">
        <f>VLOOKUP(base!A29,PSYSAE2023OCTOT!$F$2:$AQ$60,14,FALSE)</f>
        <v>90</v>
      </c>
      <c r="AH29" s="61">
        <v>0</v>
      </c>
      <c r="AI29" s="61">
        <v>0</v>
      </c>
      <c r="AJ29" s="61">
        <f>VLOOKUP(base!A29,PSYSAE2023OCTOT!$F$2:$AQ$60,24,FALSE)</f>
        <v>7280</v>
      </c>
      <c r="AK29" s="61">
        <v>0</v>
      </c>
      <c r="AL29" s="61">
        <v>0</v>
      </c>
      <c r="AM29" s="105">
        <f t="shared" si="6"/>
        <v>0.22161339421613394</v>
      </c>
      <c r="AN29" s="105">
        <v>0</v>
      </c>
      <c r="AO29" s="105">
        <v>0</v>
      </c>
      <c r="AP29" s="61">
        <f t="shared" si="7"/>
        <v>65.554794520547944</v>
      </c>
      <c r="AQ29" s="61">
        <f t="shared" si="7"/>
        <v>0</v>
      </c>
      <c r="AR29" s="61">
        <f t="shared" si="7"/>
        <v>0</v>
      </c>
      <c r="AS29" s="117">
        <f>VLOOKUP(base!A29,PSYSAE2023OCTOT!$F$2:$AQ$60,27,FALSE)</f>
        <v>12</v>
      </c>
      <c r="AT29" s="117">
        <f>VLOOKUP(base!A29,PSYSAE2023OCTOT!$F$2:$AQ$60,28,FALSE)</f>
        <v>3</v>
      </c>
      <c r="AU29" s="117">
        <f>VLOOKUP(base!A29,PSYSAE2023OCTOT!$F$2:$AQ$60,29,FALSE)</f>
        <v>6</v>
      </c>
      <c r="AV29" s="117">
        <f>VLOOKUP(base!A29,PSYSAE2023OCTOT!$F$2:$AQ$60,30,FALSE)</f>
        <v>33892</v>
      </c>
      <c r="AW29" s="117">
        <f>VLOOKUP(base!A29,PSYSAE2023OCTOT!$F$2:$AQ$60,31,FALSE)</f>
        <v>1929</v>
      </c>
      <c r="AX29" s="117">
        <f>VLOOKUP(base!A29,PSYSAE2023OCTOT!$F$2:$AQ$60,32,FALSE)</f>
        <v>12998</v>
      </c>
      <c r="AY29" s="117">
        <f>VLOOKUP(base!A29,PSYSAE2023OCTOT!$F$2:$AQ$60,33,FALSE)</f>
        <v>153</v>
      </c>
      <c r="AZ29" s="117">
        <f>VLOOKUP(base!A29,PSYSAE2023OCTOT!$F$2:$AQ$60,34,FALSE)</f>
        <v>27</v>
      </c>
      <c r="BA29" s="117">
        <f>VLOOKUP(base!A29,PSYSAE2023OCTOT!$F$2:$AQ$60,35,FALSE)</f>
        <v>1961</v>
      </c>
      <c r="BB29" s="117">
        <f>VLOOKUP(base!A29,PSYSAE2023OCTOT!$F$2:$AQ$60,36,FALSE)</f>
        <v>149</v>
      </c>
      <c r="BC29" s="223">
        <f>PSYSAE2023OCTOT!AP26</f>
        <v>3912</v>
      </c>
      <c r="BD29" s="223">
        <f>PSYSAE2023OCTOT!AQ26</f>
        <v>3881</v>
      </c>
      <c r="BE29" s="268">
        <f t="shared" si="8"/>
        <v>31</v>
      </c>
      <c r="BF29" s="61">
        <f>H29/((I29+J29+K29+L29+M29+N29)+($BF$1*(AG29+AH29+AI29))+($BF$2*(AS29+AT29+AU29)))</f>
        <v>133312.12598425196</v>
      </c>
      <c r="BG29" s="124">
        <f>$BF$1*BF29</f>
        <v>119980.91338582677</v>
      </c>
      <c r="BH29" s="124">
        <f t="shared" si="9"/>
        <v>0</v>
      </c>
      <c r="BI29" s="116">
        <f t="shared" si="10"/>
        <v>7865324.1233955342</v>
      </c>
      <c r="BJ29" s="116">
        <f t="shared" si="11"/>
        <v>3562857.8766044658</v>
      </c>
      <c r="BK29" s="105">
        <f t="shared" si="12"/>
        <v>0.31176068744831553</v>
      </c>
      <c r="BL29" s="105">
        <f t="shared" si="13"/>
        <v>0.68823931255168447</v>
      </c>
      <c r="BM29" s="272">
        <f t="shared" si="14"/>
        <v>368651.03225806454</v>
      </c>
      <c r="BN29" s="116">
        <f t="shared" si="15"/>
        <v>12638.648566451933</v>
      </c>
    </row>
    <row r="30" spans="1:66" x14ac:dyDescent="0.25">
      <c r="A30" s="76">
        <v>310781000</v>
      </c>
      <c r="B30" s="75" t="str">
        <f>VLOOKUP(base!A30,scansanté2024!$B$12:$L$69,2,FALSE)</f>
        <v>CLINIQUE DES CEDRES</v>
      </c>
      <c r="C30" s="75" t="str">
        <f>VLOOKUP(base!A30,dotpop24!$B$8:$U$67,3,FALSE)</f>
        <v>EBL</v>
      </c>
      <c r="D30" s="61">
        <f>VLOOKUP(base!A30,scansanté2024!$B$12:$L$69,4,FALSE)</f>
        <v>49922</v>
      </c>
      <c r="E30" s="118">
        <f>VLOOKUP(base!A30,scansanté2024!$B$12:$L$69,7,FALSE)</f>
        <v>1973</v>
      </c>
      <c r="F30" s="118">
        <f>VLOOKUP(base!A30,scansanté2024!$B$12:$L$69,8,FALSE)</f>
        <v>0</v>
      </c>
      <c r="G30" s="118">
        <f>VLOOKUP(base!A30,scansanté2024!$B$12:$L$69,11,FALSE)</f>
        <v>1334</v>
      </c>
      <c r="H30" s="118">
        <f>VLOOKUP(base!A30,dotpop24!$B$8:$U$67,20,FALSE)</f>
        <v>968139</v>
      </c>
      <c r="I30" s="117">
        <f>VLOOKUP(base!A30,PSYSAE2023OCTOT!$F$2:$AQ$60,7,FALSE)</f>
        <v>125</v>
      </c>
      <c r="J30" s="117">
        <v>0</v>
      </c>
      <c r="K30" s="117">
        <v>0</v>
      </c>
      <c r="L30" s="117">
        <v>0</v>
      </c>
      <c r="M30" s="117">
        <v>0</v>
      </c>
      <c r="N30" s="117">
        <v>0</v>
      </c>
      <c r="O30" s="117">
        <f>VLOOKUP(base!A30,PSYSAE2023OCTOT!$F$2:$AQ$60,18,FALSE)</f>
        <v>44879</v>
      </c>
      <c r="P30" s="117">
        <v>0</v>
      </c>
      <c r="Q30" s="117">
        <v>0</v>
      </c>
      <c r="R30" s="117">
        <v>0</v>
      </c>
      <c r="S30" s="117">
        <v>0</v>
      </c>
      <c r="T30" s="117">
        <v>0</v>
      </c>
      <c r="U30" s="114">
        <f t="shared" si="2"/>
        <v>0.98364931506849318</v>
      </c>
      <c r="V30" s="114">
        <v>0</v>
      </c>
      <c r="W30" s="114">
        <v>0</v>
      </c>
      <c r="X30" s="114">
        <v>0</v>
      </c>
      <c r="Y30" s="114">
        <v>0</v>
      </c>
      <c r="Z30" s="114">
        <v>0</v>
      </c>
      <c r="AA30" s="115">
        <f t="shared" si="5"/>
        <v>0</v>
      </c>
      <c r="AB30" s="115">
        <f t="shared" si="5"/>
        <v>0</v>
      </c>
      <c r="AC30" s="115">
        <f t="shared" si="5"/>
        <v>0</v>
      </c>
      <c r="AD30" s="115">
        <f t="shared" si="5"/>
        <v>0</v>
      </c>
      <c r="AE30" s="115">
        <f t="shared" si="5"/>
        <v>0</v>
      </c>
      <c r="AF30" s="115">
        <f t="shared" si="5"/>
        <v>0</v>
      </c>
      <c r="AG30" s="61">
        <f>VLOOKUP(base!A30,PSYSAE2023OCTOT!$F$2:$AQ$60,14,FALSE)</f>
        <v>5</v>
      </c>
      <c r="AH30" s="61">
        <v>0</v>
      </c>
      <c r="AI30" s="61">
        <v>0</v>
      </c>
      <c r="AJ30" s="61">
        <f>VLOOKUP(base!A30,PSYSAE2023OCTOT!$F$2:$AQ$60,24,FALSE)</f>
        <v>9254</v>
      </c>
      <c r="AK30" s="61">
        <v>0</v>
      </c>
      <c r="AL30" s="61">
        <v>0</v>
      </c>
      <c r="AM30" s="105">
        <f t="shared" si="6"/>
        <v>5.0706849315068494</v>
      </c>
      <c r="AN30" s="105">
        <v>0</v>
      </c>
      <c r="AO30" s="105">
        <v>0</v>
      </c>
      <c r="AP30" s="61">
        <f t="shared" si="7"/>
        <v>0</v>
      </c>
      <c r="AQ30" s="61">
        <f t="shared" si="7"/>
        <v>0</v>
      </c>
      <c r="AR30" s="61">
        <f t="shared" si="7"/>
        <v>0</v>
      </c>
      <c r="AS30" s="117">
        <v>0</v>
      </c>
      <c r="AT30" s="117">
        <v>0</v>
      </c>
      <c r="AU30" s="117">
        <v>0</v>
      </c>
      <c r="AV30" s="117">
        <v>0</v>
      </c>
      <c r="AW30" s="117">
        <v>0</v>
      </c>
      <c r="AX30" s="117">
        <v>0</v>
      </c>
      <c r="AY30" s="117">
        <v>0</v>
      </c>
      <c r="AZ30" s="117">
        <v>0</v>
      </c>
      <c r="BA30" s="117">
        <v>0</v>
      </c>
      <c r="BB30" s="117">
        <v>0</v>
      </c>
      <c r="BC30" s="223">
        <f>PSYSAE2023OCTOT!AP27</f>
        <v>1631</v>
      </c>
      <c r="BD30" s="223"/>
      <c r="BE30" s="268">
        <f t="shared" si="8"/>
        <v>1631</v>
      </c>
      <c r="BF30" s="61">
        <f>H30/((I30+J30+K30+L30+M30+N30)+($BF$1*(AG30+AH30+AI30))+($BF$2*(AS30+AT30+AU30)))</f>
        <v>7475.9768339768343</v>
      </c>
      <c r="BG30" s="124">
        <f>$BF$1*BF30</f>
        <v>6728.3791505791514</v>
      </c>
      <c r="BH30" s="124">
        <f t="shared" si="9"/>
        <v>0</v>
      </c>
      <c r="BI30" s="116">
        <f t="shared" si="10"/>
        <v>0</v>
      </c>
      <c r="BJ30" s="116">
        <f t="shared" si="11"/>
        <v>968139</v>
      </c>
      <c r="BK30" s="105">
        <f t="shared" si="12"/>
        <v>1</v>
      </c>
      <c r="BL30" s="105">
        <f t="shared" si="13"/>
        <v>0</v>
      </c>
      <c r="BM30" s="272">
        <f t="shared" si="14"/>
        <v>593.58614347026366</v>
      </c>
      <c r="BN30" s="116">
        <f t="shared" si="15"/>
        <v>593.58614347026366</v>
      </c>
    </row>
    <row r="31" spans="1:66" s="107" customFormat="1" x14ac:dyDescent="0.25">
      <c r="A31" s="153">
        <v>310781133</v>
      </c>
      <c r="B31" s="75" t="str">
        <f>VLOOKUP(base!A31,scansanté2024!$B$12:$L$69,2,FALSE)</f>
        <v>CLINIQUE D'AUFRERY</v>
      </c>
      <c r="C31" s="75" t="str">
        <f>VLOOKUP(base!A31,dotpop24!$B$8:$U$67,3,FALSE)</f>
        <v>EBL</v>
      </c>
      <c r="D31" s="154">
        <f>VLOOKUP(base!A31,scansanté2024!$B$12:$L$69,4,FALSE)</f>
        <v>61018</v>
      </c>
      <c r="E31" s="155">
        <f>VLOOKUP(base!A31,scansanté2024!$B$12:$L$69,7,FALSE)</f>
        <v>2124</v>
      </c>
      <c r="F31" s="155">
        <f>VLOOKUP(base!A31,scansanté2024!$B$12:$L$69,8,FALSE)</f>
        <v>0</v>
      </c>
      <c r="G31" s="155">
        <f>VLOOKUP(base!A31,scansanté2024!$B$12:$L$69,11,FALSE)</f>
        <v>1345</v>
      </c>
      <c r="H31" s="155">
        <f>VLOOKUP(base!A31,dotpop24!$B$8:$U$67,20,FALSE)</f>
        <v>949811</v>
      </c>
      <c r="I31" s="156">
        <f>VLOOKUP(base!A31,PSYSAE2023OCTOT!$F$2:$AQ$60,7,FALSE)</f>
        <v>150</v>
      </c>
      <c r="J31" s="156">
        <v>0</v>
      </c>
      <c r="K31" s="156">
        <v>0</v>
      </c>
      <c r="L31" s="156">
        <v>0</v>
      </c>
      <c r="M31" s="156">
        <v>0</v>
      </c>
      <c r="N31" s="156">
        <v>0</v>
      </c>
      <c r="O31" s="156">
        <f>VLOOKUP(base!A31,PSYSAE2023OCTOT!$F$2:$AQ$60,18,FALSE)</f>
        <v>52882</v>
      </c>
      <c r="P31" s="156">
        <v>0</v>
      </c>
      <c r="Q31" s="156">
        <v>0</v>
      </c>
      <c r="R31" s="156">
        <v>0</v>
      </c>
      <c r="S31" s="156">
        <v>0</v>
      </c>
      <c r="T31" s="156">
        <v>0</v>
      </c>
      <c r="U31" s="157">
        <f t="shared" si="2"/>
        <v>0.96588127853881278</v>
      </c>
      <c r="V31" s="157">
        <v>0</v>
      </c>
      <c r="W31" s="157">
        <v>0</v>
      </c>
      <c r="X31" s="157">
        <v>0</v>
      </c>
      <c r="Y31" s="157">
        <v>0</v>
      </c>
      <c r="Z31" s="157">
        <v>0</v>
      </c>
      <c r="AA31" s="158">
        <f t="shared" si="5"/>
        <v>0</v>
      </c>
      <c r="AB31" s="158">
        <f t="shared" si="5"/>
        <v>0</v>
      </c>
      <c r="AC31" s="158">
        <f t="shared" si="5"/>
        <v>0</v>
      </c>
      <c r="AD31" s="158">
        <f t="shared" si="5"/>
        <v>0</v>
      </c>
      <c r="AE31" s="158">
        <f t="shared" si="5"/>
        <v>0</v>
      </c>
      <c r="AF31" s="158">
        <f t="shared" si="5"/>
        <v>0</v>
      </c>
      <c r="AG31" s="154">
        <f>VLOOKUP(base!A31,PSYSAE2023OCTOT!$F$2:$AQ$60,14,FALSE)</f>
        <v>15</v>
      </c>
      <c r="AH31" s="154">
        <v>0</v>
      </c>
      <c r="AI31" s="154">
        <v>0</v>
      </c>
      <c r="AJ31" s="154">
        <f>VLOOKUP(base!A31,PSYSAE2023OCTOT!$F$2:$AQ$60,24,FALSE)</f>
        <v>8003</v>
      </c>
      <c r="AK31" s="154">
        <v>0</v>
      </c>
      <c r="AL31" s="154">
        <v>0</v>
      </c>
      <c r="AM31" s="159">
        <f t="shared" si="6"/>
        <v>1.4617351598173516</v>
      </c>
      <c r="AN31" s="159">
        <v>0</v>
      </c>
      <c r="AO31" s="159">
        <v>0</v>
      </c>
      <c r="AP31" s="154">
        <f t="shared" si="7"/>
        <v>0</v>
      </c>
      <c r="AQ31" s="154">
        <f t="shared" si="7"/>
        <v>0</v>
      </c>
      <c r="AR31" s="154">
        <f t="shared" si="7"/>
        <v>0</v>
      </c>
      <c r="AS31" s="156">
        <v>0</v>
      </c>
      <c r="AT31" s="156">
        <v>0</v>
      </c>
      <c r="AU31" s="156">
        <v>0</v>
      </c>
      <c r="AV31" s="156">
        <v>0</v>
      </c>
      <c r="AW31" s="156">
        <v>0</v>
      </c>
      <c r="AX31" s="156">
        <v>0</v>
      </c>
      <c r="AY31" s="156">
        <v>0</v>
      </c>
      <c r="AZ31" s="156">
        <v>0</v>
      </c>
      <c r="BA31" s="156">
        <v>0</v>
      </c>
      <c r="BB31" s="156">
        <v>0</v>
      </c>
      <c r="BC31" s="223">
        <f>PSYSAE2023OCTOT!AP28</f>
        <v>1333</v>
      </c>
      <c r="BD31" s="223"/>
      <c r="BE31" s="268">
        <f t="shared" si="8"/>
        <v>1333</v>
      </c>
      <c r="BF31" s="61">
        <f>H31/((I31+J31+K31+L31+M31+N31)+($BF$1*(AG31+AH31+AI31))+($BF$2*(AS31+AT31+AU31)))</f>
        <v>5809.2415902140674</v>
      </c>
      <c r="BG31" s="124">
        <f>$BF$1*BF31</f>
        <v>5228.3174311926605</v>
      </c>
      <c r="BH31" s="124">
        <f t="shared" si="9"/>
        <v>0</v>
      </c>
      <c r="BI31" s="116">
        <f t="shared" si="10"/>
        <v>0</v>
      </c>
      <c r="BJ31" s="116">
        <f t="shared" si="11"/>
        <v>949811</v>
      </c>
      <c r="BK31" s="105">
        <f t="shared" si="12"/>
        <v>1</v>
      </c>
      <c r="BL31" s="105">
        <f t="shared" si="13"/>
        <v>0</v>
      </c>
      <c r="BM31" s="272">
        <f t="shared" si="14"/>
        <v>712.53638409602399</v>
      </c>
      <c r="BN31" s="116">
        <f t="shared" si="15"/>
        <v>712.53638409602399</v>
      </c>
    </row>
    <row r="32" spans="1:66" ht="25.5" x14ac:dyDescent="0.25">
      <c r="A32" s="76">
        <v>310781141</v>
      </c>
      <c r="B32" s="75" t="str">
        <f>VLOOKUP(base!A32,scansanté2024!$B$12:$L$69,2,FALSE)</f>
        <v>SARL SE CLINIQUE DU DOCTEUR BECQ</v>
      </c>
      <c r="C32" s="75" t="str">
        <f>VLOOKUP(base!A32,dotpop24!$B$8:$U$67,3,FALSE)</f>
        <v>EBL</v>
      </c>
      <c r="D32" s="61">
        <f>VLOOKUP(base!A32,scansanté2024!$B$12:$L$69,4,FALSE)</f>
        <v>57384</v>
      </c>
      <c r="E32" s="118">
        <f>VLOOKUP(base!A32,scansanté2024!$B$12:$L$69,7,FALSE)</f>
        <v>1717</v>
      </c>
      <c r="F32" s="118">
        <f>VLOOKUP(base!A32,scansanté2024!$B$12:$L$69,8,FALSE)</f>
        <v>0</v>
      </c>
      <c r="G32" s="118">
        <f>VLOOKUP(base!A32,scansanté2024!$B$12:$L$69,11,FALSE)</f>
        <v>1226</v>
      </c>
      <c r="H32" s="118">
        <f>VLOOKUP(base!A32,dotpop24!$B$8:$U$67,20,FALSE)</f>
        <v>977000</v>
      </c>
      <c r="I32" s="117">
        <f>VLOOKUP(base!A32,PSYSAE2023OCTOT!$F$2:$AQ$60,7,FALSE)</f>
        <v>188</v>
      </c>
      <c r="J32" s="117">
        <v>0</v>
      </c>
      <c r="K32" s="117">
        <v>0</v>
      </c>
      <c r="L32" s="117">
        <v>0</v>
      </c>
      <c r="M32" s="117">
        <v>0</v>
      </c>
      <c r="N32" s="117">
        <v>0</v>
      </c>
      <c r="O32" s="117">
        <f>VLOOKUP(base!A32,PSYSAE2023OCTOT!$F$2:$AQ$60,18,FALSE)</f>
        <v>51623</v>
      </c>
      <c r="P32" s="117">
        <v>0</v>
      </c>
      <c r="Q32" s="117">
        <v>0</v>
      </c>
      <c r="R32" s="117">
        <v>0</v>
      </c>
      <c r="S32" s="117">
        <v>0</v>
      </c>
      <c r="T32" s="117">
        <v>0</v>
      </c>
      <c r="U32" s="114">
        <f t="shared" si="2"/>
        <v>0.7523025357038764</v>
      </c>
      <c r="V32" s="114">
        <v>0</v>
      </c>
      <c r="W32" s="114">
        <v>0</v>
      </c>
      <c r="X32" s="114">
        <v>0</v>
      </c>
      <c r="Y32" s="114">
        <v>0</v>
      </c>
      <c r="Z32" s="114">
        <v>0</v>
      </c>
      <c r="AA32" s="115">
        <f t="shared" si="5"/>
        <v>27.767123287671232</v>
      </c>
      <c r="AB32" s="115">
        <f t="shared" si="5"/>
        <v>0</v>
      </c>
      <c r="AC32" s="115">
        <f t="shared" si="5"/>
        <v>0</v>
      </c>
      <c r="AD32" s="115">
        <f t="shared" si="5"/>
        <v>0</v>
      </c>
      <c r="AE32" s="115">
        <f t="shared" si="5"/>
        <v>0</v>
      </c>
      <c r="AF32" s="115">
        <f t="shared" si="5"/>
        <v>0</v>
      </c>
      <c r="AG32" s="61">
        <f>VLOOKUP(base!A32,PSYSAE2023OCTOT!$F$2:$AQ$60,14,FALSE)</f>
        <v>5</v>
      </c>
      <c r="AH32" s="61">
        <v>0</v>
      </c>
      <c r="AI32" s="61">
        <v>0</v>
      </c>
      <c r="AJ32" s="61">
        <f>VLOOKUP(base!A32,PSYSAE2023OCTOT!$F$2:$AQ$60,24,FALSE)</f>
        <v>3353</v>
      </c>
      <c r="AK32" s="61">
        <v>0</v>
      </c>
      <c r="AL32" s="61">
        <v>0</v>
      </c>
      <c r="AM32" s="105">
        <f t="shared" si="6"/>
        <v>1.8372602739726027</v>
      </c>
      <c r="AN32" s="105">
        <v>0</v>
      </c>
      <c r="AO32" s="105">
        <v>0</v>
      </c>
      <c r="AP32" s="61">
        <f t="shared" si="7"/>
        <v>0</v>
      </c>
      <c r="AQ32" s="61">
        <f t="shared" si="7"/>
        <v>0</v>
      </c>
      <c r="AR32" s="61">
        <f t="shared" si="7"/>
        <v>0</v>
      </c>
      <c r="AS32" s="117">
        <v>0</v>
      </c>
      <c r="AT32" s="117">
        <v>0</v>
      </c>
      <c r="AU32" s="117">
        <v>0</v>
      </c>
      <c r="AV32" s="117">
        <v>0</v>
      </c>
      <c r="AW32" s="117">
        <v>0</v>
      </c>
      <c r="AX32" s="117">
        <v>0</v>
      </c>
      <c r="AY32" s="117">
        <v>0</v>
      </c>
      <c r="AZ32" s="117">
        <v>0</v>
      </c>
      <c r="BA32" s="117">
        <v>0</v>
      </c>
      <c r="BB32" s="117">
        <v>0</v>
      </c>
      <c r="BC32" s="223">
        <f>PSYSAE2023OCTOT!AP29</f>
        <v>1381</v>
      </c>
      <c r="BD32" s="223"/>
      <c r="BE32" s="268">
        <f t="shared" si="8"/>
        <v>1381</v>
      </c>
      <c r="BF32" s="61">
        <f>H32/((I32+J32+K32+L32+M32+N32)+($BF$1*(AG32+AH32+AI32))+($BF$2*(AS32+AT32+AU32)))</f>
        <v>5075.3246753246749</v>
      </c>
      <c r="BG32" s="124">
        <f>$BF$1*BF32</f>
        <v>4567.7922077922076</v>
      </c>
      <c r="BH32" s="124">
        <f t="shared" si="9"/>
        <v>140927.16598470023</v>
      </c>
      <c r="BI32" s="116">
        <f t="shared" si="10"/>
        <v>0</v>
      </c>
      <c r="BJ32" s="116">
        <f t="shared" si="11"/>
        <v>836072.8340152998</v>
      </c>
      <c r="BK32" s="105">
        <f t="shared" si="12"/>
        <v>0.85575520370040925</v>
      </c>
      <c r="BL32" s="105">
        <f t="shared" si="13"/>
        <v>0.14424479629959075</v>
      </c>
      <c r="BM32" s="272">
        <f t="shared" si="14"/>
        <v>707.45836350470677</v>
      </c>
      <c r="BN32" s="116">
        <f t="shared" si="15"/>
        <v>707.45836350470677</v>
      </c>
    </row>
    <row r="33" spans="1:66" x14ac:dyDescent="0.25">
      <c r="A33" s="100">
        <v>310781158</v>
      </c>
      <c r="B33" s="101" t="str">
        <f>VLOOKUP(base!A33,scansanté2024!$B$12:$L$69,2,FALSE)</f>
        <v>SA CLINIQUE MARIGNY</v>
      </c>
      <c r="C33" s="75" t="str">
        <f>VLOOKUP(base!A33,dotpop24!$B$8:$U$67,3,FALSE)</f>
        <v>EBL</v>
      </c>
      <c r="D33" s="61">
        <f>VLOOKUP(base!A33,scansanté2024!$B$12:$L$69,4,FALSE)</f>
        <v>50392</v>
      </c>
      <c r="E33" s="118">
        <f>VLOOKUP(base!A33,scansanté2024!$B$12:$L$69,7,FALSE)</f>
        <v>1549</v>
      </c>
      <c r="F33" s="118">
        <f>VLOOKUP(base!A33,scansanté2024!$B$12:$L$69,8,FALSE)</f>
        <v>0</v>
      </c>
      <c r="G33" s="118">
        <f>VLOOKUP(base!A33,scansanté2024!$B$12:$L$69,11,FALSE)</f>
        <v>1081</v>
      </c>
      <c r="H33" s="118">
        <f>VLOOKUP(base!A33,dotpop24!$B$8:$U$67,20,FALSE)</f>
        <v>969101</v>
      </c>
      <c r="I33" s="117">
        <f>VLOOKUP(base!A33,PSYSAE2023OCTOT!$F$2:$AQ$60,7,FALSE)</f>
        <v>129</v>
      </c>
      <c r="J33" s="117">
        <f>VLOOKUP(base!A33,PSYSAE2023OCTOT!$F$2:$AQ$60,8,FALSE)</f>
        <v>0</v>
      </c>
      <c r="K33" s="117">
        <f>VLOOKUP(base!A33,PSYSAE2023OCTOT!$F$2:$AQ$60,9,FALSE)</f>
        <v>0</v>
      </c>
      <c r="L33" s="117">
        <f>VLOOKUP(base!A33,PSYSAE2023OCTOT!$F$2:$AQ$60,10,FALSE)</f>
        <v>0</v>
      </c>
      <c r="M33" s="117">
        <f>VLOOKUP(base!A33,PSYSAE2023OCTOT!$F$2:$AQ$60,11,FALSE)</f>
        <v>0</v>
      </c>
      <c r="N33" s="117">
        <f>VLOOKUP(base!A33,PSYSAE2023OCTOT!$F$2:$AQ$60,12,FALSE)</f>
        <v>0</v>
      </c>
      <c r="O33" s="26">
        <f>D33</f>
        <v>50392</v>
      </c>
      <c r="P33" s="117">
        <f>VLOOKUP(base!A33,PSYSAE2023OCTOT!$F$2:$AQ$60,19,FALSE)</f>
        <v>0</v>
      </c>
      <c r="Q33" s="117">
        <f>VLOOKUP(base!A33,PSYSAE2023OCTOT!$F$2:$AQ$60,20,FALSE)</f>
        <v>0</v>
      </c>
      <c r="R33" s="117">
        <f>VLOOKUP(base!A33,PSYSAE2023OCTOT!$F$2:$AQ$60,21,FALSE)</f>
        <v>0</v>
      </c>
      <c r="S33" s="117">
        <f>VLOOKUP(base!A33,PSYSAE2023OCTOT!$F$2:$AQ$60,22,FALSE)</f>
        <v>0</v>
      </c>
      <c r="T33" s="117">
        <f>VLOOKUP(base!A33,PSYSAE2023OCTOT!$F$2:$AQ$60,23,FALSE)</f>
        <v>0</v>
      </c>
      <c r="U33" s="114">
        <f t="shared" si="2"/>
        <v>1.0702346819581607</v>
      </c>
      <c r="V33" s="114">
        <v>0</v>
      </c>
      <c r="W33" s="114">
        <v>0</v>
      </c>
      <c r="X33" s="114">
        <v>0</v>
      </c>
      <c r="Y33" s="114">
        <v>0</v>
      </c>
      <c r="Z33" s="114">
        <v>0</v>
      </c>
      <c r="AA33" s="115">
        <f t="shared" si="5"/>
        <v>0</v>
      </c>
      <c r="AB33" s="115">
        <f t="shared" si="5"/>
        <v>0</v>
      </c>
      <c r="AC33" s="115">
        <f t="shared" si="5"/>
        <v>0</v>
      </c>
      <c r="AD33" s="115">
        <f t="shared" si="5"/>
        <v>0</v>
      </c>
      <c r="AE33" s="115">
        <f t="shared" si="5"/>
        <v>0</v>
      </c>
      <c r="AF33" s="115">
        <f t="shared" si="5"/>
        <v>0</v>
      </c>
      <c r="AG33" s="61">
        <f>VLOOKUP(base!A33,PSYSAE2023OCTOT!$F$2:$AQ$60,14,FALSE)</f>
        <v>10</v>
      </c>
      <c r="AH33" s="61">
        <f>VLOOKUP(base!A33,PSYSAE2023OCTOT!$F$2:$AQ$60,15,FALSE)</f>
        <v>0</v>
      </c>
      <c r="AI33" s="61">
        <f>VLOOKUP(base!A33,PSYSAE2023OCTOT!$F$2:$AQ$60,16,FALSE)</f>
        <v>0</v>
      </c>
      <c r="AJ33" s="61">
        <f>VLOOKUP(base!A33,PSYSAE2023OCTOT!$F$2:$AQ$60,24,FALSE)</f>
        <v>0</v>
      </c>
      <c r="AK33" s="61">
        <f>VLOOKUP(base!A33,PSYSAE2023OCTOT!$F$2:$AQ$60,25,FALSE)</f>
        <v>0</v>
      </c>
      <c r="AL33" s="61">
        <f>VLOOKUP(base!A33,PSYSAE2023OCTOT!$F$2:$AQ$60,26,FALSE)</f>
        <v>0</v>
      </c>
      <c r="AM33" s="105">
        <f t="shared" si="6"/>
        <v>0</v>
      </c>
      <c r="AN33" s="105">
        <v>0</v>
      </c>
      <c r="AO33" s="105">
        <v>0</v>
      </c>
      <c r="AP33" s="61">
        <f t="shared" si="7"/>
        <v>9.5</v>
      </c>
      <c r="AQ33" s="61">
        <f t="shared" si="7"/>
        <v>0</v>
      </c>
      <c r="AR33" s="61">
        <f t="shared" si="7"/>
        <v>0</v>
      </c>
      <c r="AS33" s="117">
        <f>VLOOKUP(base!A33,PSYSAE2023OCTOT!$F$2:$AQ$60,27,FALSE)</f>
        <v>0</v>
      </c>
      <c r="AT33" s="117">
        <f>VLOOKUP(base!A33,PSYSAE2023OCTOT!$F$2:$AQ$60,28,FALSE)</f>
        <v>0</v>
      </c>
      <c r="AU33" s="117">
        <f>VLOOKUP(base!A33,PSYSAE2023OCTOT!$F$2:$AQ$60,29,FALSE)</f>
        <v>0</v>
      </c>
      <c r="AV33" s="117">
        <f>VLOOKUP(base!A33,PSYSAE2023OCTOT!$F$2:$AQ$60,30,FALSE)</f>
        <v>0</v>
      </c>
      <c r="AW33" s="117">
        <f>VLOOKUP(base!A33,PSYSAE2023OCTOT!$F$2:$AQ$60,31,FALSE)</f>
        <v>0</v>
      </c>
      <c r="AX33" s="117">
        <f>VLOOKUP(base!A33,PSYSAE2023OCTOT!$F$2:$AQ$60,32,FALSE)</f>
        <v>0</v>
      </c>
      <c r="AY33" s="117">
        <f>VLOOKUP(base!A33,PSYSAE2023OCTOT!$F$2:$AQ$60,33,FALSE)</f>
        <v>0</v>
      </c>
      <c r="AZ33" s="117">
        <f>VLOOKUP(base!A33,PSYSAE2023OCTOT!$F$2:$AQ$60,34,FALSE)</f>
        <v>0</v>
      </c>
      <c r="BA33" s="117">
        <f>VLOOKUP(base!A33,PSYSAE2023OCTOT!$F$2:$AQ$60,35,FALSE)</f>
        <v>0</v>
      </c>
      <c r="BB33" s="117">
        <f>VLOOKUP(base!A33,PSYSAE2023OCTOT!$F$2:$AQ$60,36,FALSE)</f>
        <v>0</v>
      </c>
      <c r="BC33" s="223">
        <f>PSYSAE2023OCTOT!AP30</f>
        <v>1022</v>
      </c>
      <c r="BD33" s="223">
        <f>PSYSAE2023OCTOT!AQ30</f>
        <v>0</v>
      </c>
      <c r="BE33" s="268">
        <f t="shared" si="8"/>
        <v>1022</v>
      </c>
      <c r="BF33" s="61">
        <f>H33/((I33+J33+K33+L33+M33+N33)+($BF$1*(AG33+AH33+AI33))+($BF$2*(AS33+AT33+AU33)))</f>
        <v>7022.471014492754</v>
      </c>
      <c r="BG33" s="124">
        <f>$BF$1*BF33</f>
        <v>6320.2239130434791</v>
      </c>
      <c r="BH33" s="124">
        <f t="shared" si="9"/>
        <v>0</v>
      </c>
      <c r="BI33" s="116">
        <f t="shared" si="10"/>
        <v>60042.127173913053</v>
      </c>
      <c r="BJ33" s="116">
        <f t="shared" si="11"/>
        <v>909058.87282608694</v>
      </c>
      <c r="BK33" s="105">
        <f t="shared" si="12"/>
        <v>0.93804347826086953</v>
      </c>
      <c r="BL33" s="105">
        <f t="shared" si="13"/>
        <v>6.1956521739130466E-2</v>
      </c>
      <c r="BM33" s="272">
        <f t="shared" si="14"/>
        <v>948.2397260273973</v>
      </c>
      <c r="BN33" s="116">
        <f t="shared" si="15"/>
        <v>948.2397260273973</v>
      </c>
    </row>
    <row r="34" spans="1:66" x14ac:dyDescent="0.25">
      <c r="A34" s="76">
        <v>310781406</v>
      </c>
      <c r="B34" s="75" t="str">
        <f>VLOOKUP(base!A34,scansanté2024!$B$12:$L$69,2,FALSE)</f>
        <v>CHU TOULOUSE</v>
      </c>
      <c r="C34" s="75" t="str">
        <f>VLOOKUP(base!A34,dotpop24!$B$8:$U$67,3,FALSE)</f>
        <v>EPS</v>
      </c>
      <c r="D34" s="61">
        <f>VLOOKUP(base!A34,scansanté2024!$B$12:$L$69,4,FALSE)</f>
        <v>46140</v>
      </c>
      <c r="E34" s="118">
        <f>VLOOKUP(base!A34,scansanté2024!$B$12:$L$69,7,FALSE)</f>
        <v>2315</v>
      </c>
      <c r="F34" s="118">
        <f>VLOOKUP(base!A34,scansanté2024!$B$12:$L$69,8,FALSE)</f>
        <v>93123</v>
      </c>
      <c r="G34" s="118">
        <f>VLOOKUP(base!A34,scansanté2024!$B$12:$L$69,11,FALSE)</f>
        <v>12643</v>
      </c>
      <c r="H34" s="118">
        <f>VLOOKUP(base!A34,dotpop24!$B$8:$U$67,20,FALSE)</f>
        <v>33915337</v>
      </c>
      <c r="I34" s="117">
        <f>VLOOKUP(base!A34,PSYSAE2023OCTOT!$F$2:$AQ$60,7,FALSE)</f>
        <v>99</v>
      </c>
      <c r="J34" s="117">
        <v>0</v>
      </c>
      <c r="K34" s="117">
        <v>0</v>
      </c>
      <c r="L34" s="117">
        <v>0</v>
      </c>
      <c r="M34" s="117">
        <f>VLOOKUP(base!A34,PSYSAE2023OCTOT!$F$2:$AQ$60,11,FALSE)</f>
        <v>6</v>
      </c>
      <c r="N34" s="117">
        <v>0</v>
      </c>
      <c r="O34" s="117">
        <f>VLOOKUP(base!A34,PSYSAE2023OCTOT!$F$2:$AQ$60,18,FALSE)</f>
        <v>33116</v>
      </c>
      <c r="P34" s="117">
        <v>0</v>
      </c>
      <c r="Q34" s="117">
        <v>0</v>
      </c>
      <c r="R34" s="117">
        <v>0</v>
      </c>
      <c r="S34" s="117">
        <f>VLOOKUP(base!A34,PSYSAE2023OCTOT!$F$2:$AQ$60,22,FALSE)</f>
        <v>1922</v>
      </c>
      <c r="T34" s="117">
        <v>0</v>
      </c>
      <c r="U34" s="114">
        <f t="shared" si="2"/>
        <v>0.91645219316452198</v>
      </c>
      <c r="V34" s="114">
        <v>0</v>
      </c>
      <c r="W34" s="114">
        <v>0</v>
      </c>
      <c r="X34" s="114">
        <v>0</v>
      </c>
      <c r="Y34" s="114">
        <f t="shared" si="4"/>
        <v>0.87762557077625569</v>
      </c>
      <c r="Z34" s="114">
        <v>0</v>
      </c>
      <c r="AA34" s="115">
        <f t="shared" si="5"/>
        <v>0</v>
      </c>
      <c r="AB34" s="115">
        <f t="shared" si="5"/>
        <v>0</v>
      </c>
      <c r="AC34" s="115">
        <f t="shared" si="5"/>
        <v>0</v>
      </c>
      <c r="AD34" s="115">
        <f t="shared" si="5"/>
        <v>0</v>
      </c>
      <c r="AE34" s="115">
        <f t="shared" si="5"/>
        <v>0.13424657534246576</v>
      </c>
      <c r="AF34" s="115">
        <f t="shared" si="5"/>
        <v>0</v>
      </c>
      <c r="AG34" s="61">
        <f>VLOOKUP(base!A34,PSYSAE2023OCTOT!$F$2:$AQ$60,14,FALSE)</f>
        <v>85</v>
      </c>
      <c r="AH34" s="61">
        <v>0</v>
      </c>
      <c r="AI34" s="61">
        <v>0</v>
      </c>
      <c r="AJ34" s="61">
        <f>VLOOKUP(base!A34,PSYSAE2023OCTOT!$F$2:$AQ$60,24,FALSE)</f>
        <v>10514</v>
      </c>
      <c r="AK34" s="61">
        <v>0</v>
      </c>
      <c r="AL34" s="61">
        <v>0</v>
      </c>
      <c r="AM34" s="105">
        <f t="shared" si="6"/>
        <v>0.33888799355358584</v>
      </c>
      <c r="AN34" s="105">
        <v>0</v>
      </c>
      <c r="AO34" s="105">
        <v>0</v>
      </c>
      <c r="AP34" s="61">
        <f t="shared" si="7"/>
        <v>51.944520547945203</v>
      </c>
      <c r="AQ34" s="61">
        <f t="shared" si="7"/>
        <v>0</v>
      </c>
      <c r="AR34" s="61">
        <f t="shared" si="7"/>
        <v>0</v>
      </c>
      <c r="AS34" s="117">
        <f>VLOOKUP(base!A34,PSYSAE2023OCTOT!$F$2:$AQ$60,27,FALSE)</f>
        <v>6</v>
      </c>
      <c r="AT34" s="117">
        <f>VLOOKUP(base!A34,PSYSAE2023OCTOT!$F$2:$AQ$60,28,FALSE)</f>
        <v>8</v>
      </c>
      <c r="AU34" s="117">
        <f>VLOOKUP(base!A34,PSYSAE2023OCTOT!$F$2:$AQ$60,29,FALSE)</f>
        <v>1</v>
      </c>
      <c r="AV34" s="117">
        <f>VLOOKUP(base!A34,PSYSAE2023OCTOT!$F$2:$AQ$60,30,FALSE)</f>
        <v>26659</v>
      </c>
      <c r="AW34" s="117">
        <f>VLOOKUP(base!A34,PSYSAE2023OCTOT!$F$2:$AQ$60,31,FALSE)</f>
        <v>28853</v>
      </c>
      <c r="AX34" s="117">
        <f>VLOOKUP(base!A34,PSYSAE2023OCTOT!$F$2:$AQ$60,32,FALSE)</f>
        <v>4005</v>
      </c>
      <c r="AY34" s="117">
        <f>VLOOKUP(base!A34,PSYSAE2023OCTOT!$F$2:$AQ$60,33,FALSE)</f>
        <v>1048</v>
      </c>
      <c r="AZ34" s="117">
        <f>VLOOKUP(base!A34,PSYSAE2023OCTOT!$F$2:$AQ$60,34,FALSE)</f>
        <v>20</v>
      </c>
      <c r="BA34" s="117">
        <f>VLOOKUP(base!A34,PSYSAE2023OCTOT!$F$2:$AQ$60,35,FALSE)</f>
        <v>10809</v>
      </c>
      <c r="BB34" s="117">
        <f>VLOOKUP(base!A34,PSYSAE2023OCTOT!$F$2:$AQ$60,36,FALSE)</f>
        <v>56</v>
      </c>
      <c r="BC34" s="223">
        <f>PSYSAE2023OCTOT!AP31</f>
        <v>11723</v>
      </c>
      <c r="BD34" s="223">
        <f>PSYSAE2023OCTOT!AQ31</f>
        <v>10220</v>
      </c>
      <c r="BE34" s="268">
        <f t="shared" si="8"/>
        <v>1503</v>
      </c>
      <c r="BF34" s="61">
        <f>H34/((I34+J34+K34+L34+M34+N34)+($BF$1*(AG34+AH34+AI34))+($BF$2*(AS34+AT34+AU34)))</f>
        <v>183450.0987153482</v>
      </c>
      <c r="BG34" s="124">
        <f>$BF$1*BF34</f>
        <v>165105.08884381337</v>
      </c>
      <c r="BH34" s="124">
        <f t="shared" si="9"/>
        <v>24627.547498772772</v>
      </c>
      <c r="BI34" s="116">
        <f>(AP34+AQ34+AR34)*BG34</f>
        <v>8576304.6800177824</v>
      </c>
      <c r="BJ34" s="116">
        <f t="shared" si="11"/>
        <v>25314404.772483446</v>
      </c>
      <c r="BK34" s="105">
        <f t="shared" si="12"/>
        <v>0.74639991849361387</v>
      </c>
      <c r="BL34" s="105">
        <f t="shared" si="13"/>
        <v>0.25360008150638613</v>
      </c>
      <c r="BM34" s="272">
        <f t="shared" si="14"/>
        <v>22565.094477711245</v>
      </c>
      <c r="BN34" s="116">
        <f t="shared" si="15"/>
        <v>8919.2207758053919</v>
      </c>
    </row>
    <row r="35" spans="1:66" ht="25.5" x14ac:dyDescent="0.25">
      <c r="A35" s="76">
        <v>310781430</v>
      </c>
      <c r="B35" s="75" t="str">
        <f>VLOOKUP(base!A35,scansanté2024!$B$12:$L$69,2,FALSE)</f>
        <v>CENTRE POST CURE ROUTE NOUVELLE</v>
      </c>
      <c r="C35" s="75" t="str">
        <f>VLOOKUP(base!A35,dotpop24!$B$8:$U$67,3,FALSE)</f>
        <v>EBNL</v>
      </c>
      <c r="D35" s="61">
        <f>VLOOKUP(base!A35,scansanté2024!$B$12:$L$69,4,FALSE)</f>
        <v>11794</v>
      </c>
      <c r="E35" s="118">
        <f>VLOOKUP(base!A35,scansanté2024!$B$12:$L$69,7,FALSE)</f>
        <v>781</v>
      </c>
      <c r="F35" s="118">
        <f>VLOOKUP(base!A35,scansanté2024!$B$12:$L$69,8,FALSE)</f>
        <v>0</v>
      </c>
      <c r="G35" s="118">
        <f>VLOOKUP(base!A35,scansanté2024!$B$12:$L$69,11,FALSE)</f>
        <v>113</v>
      </c>
      <c r="H35" s="118">
        <f>VLOOKUP(base!A35,dotpop24!$B$8:$U$67,20,FALSE)</f>
        <v>1313278</v>
      </c>
      <c r="I35" s="117">
        <v>0</v>
      </c>
      <c r="J35" s="117">
        <v>0</v>
      </c>
      <c r="K35" s="117">
        <v>0</v>
      </c>
      <c r="L35" s="117">
        <v>0</v>
      </c>
      <c r="M35" s="117">
        <v>0</v>
      </c>
      <c r="N35" s="117">
        <v>0</v>
      </c>
      <c r="O35" s="117">
        <v>0</v>
      </c>
      <c r="P35" s="117">
        <v>0</v>
      </c>
      <c r="Q35" s="117">
        <v>0</v>
      </c>
      <c r="R35" s="117">
        <v>0</v>
      </c>
      <c r="S35" s="117">
        <v>0</v>
      </c>
      <c r="T35" s="117">
        <v>0</v>
      </c>
      <c r="U35" s="114">
        <v>0</v>
      </c>
      <c r="V35" s="114">
        <v>0</v>
      </c>
      <c r="W35" s="114">
        <v>0</v>
      </c>
      <c r="X35" s="114">
        <v>0</v>
      </c>
      <c r="Y35" s="114">
        <v>0</v>
      </c>
      <c r="Z35" s="114">
        <v>0</v>
      </c>
      <c r="AA35" s="115">
        <f t="shared" si="5"/>
        <v>0</v>
      </c>
      <c r="AB35" s="115">
        <f t="shared" si="5"/>
        <v>0</v>
      </c>
      <c r="AC35" s="115">
        <f t="shared" si="5"/>
        <v>0</v>
      </c>
      <c r="AD35" s="115">
        <f t="shared" si="5"/>
        <v>0</v>
      </c>
      <c r="AE35" s="115">
        <f t="shared" si="5"/>
        <v>0</v>
      </c>
      <c r="AF35" s="115">
        <f t="shared" si="5"/>
        <v>0</v>
      </c>
      <c r="AG35" s="61">
        <f>VLOOKUP(base!A35,PSYSAE2023OCTOT!$F$2:$AQ$60,14,FALSE)</f>
        <v>55</v>
      </c>
      <c r="AH35" s="61">
        <f>VLOOKUP(base!A35,PSYSAE2023OCTOT!$F$2:$AQ$60,15,FALSE)</f>
        <v>0</v>
      </c>
      <c r="AI35" s="61">
        <v>0</v>
      </c>
      <c r="AJ35" s="61">
        <f>VLOOKUP(base!A35,PSYSAE2023OCTOT!$F$2:$AQ$60,24,FALSE)</f>
        <v>12236</v>
      </c>
      <c r="AK35" s="61">
        <v>0</v>
      </c>
      <c r="AL35" s="61">
        <v>0</v>
      </c>
      <c r="AM35" s="105">
        <f t="shared" si="6"/>
        <v>0.60951432129514316</v>
      </c>
      <c r="AN35" s="105">
        <v>0</v>
      </c>
      <c r="AO35" s="105">
        <v>0</v>
      </c>
      <c r="AP35" s="61">
        <f t="shared" si="7"/>
        <v>18.726712328767128</v>
      </c>
      <c r="AQ35" s="61">
        <f t="shared" si="7"/>
        <v>0</v>
      </c>
      <c r="AR35" s="61">
        <f t="shared" si="7"/>
        <v>0</v>
      </c>
      <c r="AS35" s="117">
        <v>0</v>
      </c>
      <c r="AT35" s="117">
        <v>0</v>
      </c>
      <c r="AU35" s="117">
        <v>0</v>
      </c>
      <c r="AV35" s="117">
        <v>0</v>
      </c>
      <c r="AW35" s="117">
        <v>0</v>
      </c>
      <c r="AX35" s="117">
        <v>0</v>
      </c>
      <c r="AY35" s="117">
        <v>0</v>
      </c>
      <c r="AZ35" s="117">
        <v>0</v>
      </c>
      <c r="BA35" s="117">
        <v>0</v>
      </c>
      <c r="BB35" s="117">
        <v>0</v>
      </c>
      <c r="BC35" s="223">
        <f>PSYSAE2023OCTOT!AP32</f>
        <v>86</v>
      </c>
      <c r="BD35" s="223">
        <f>PSYSAE2023OCTOT!AQ32</f>
        <v>86</v>
      </c>
      <c r="BE35" s="268">
        <f t="shared" si="8"/>
        <v>0</v>
      </c>
      <c r="BF35" s="61">
        <f>H35/((I35+J35+K35+L35+M35+N35)+($BF$1*(AG35+AH35+AI35))+($BF$2*(AS35+AT35+AU35)))</f>
        <v>26530.868686868685</v>
      </c>
      <c r="BG35" s="124">
        <f>$BF$1*BF35</f>
        <v>23877.781818181818</v>
      </c>
      <c r="BH35" s="124">
        <f t="shared" si="9"/>
        <v>0</v>
      </c>
      <c r="BI35" s="116">
        <f t="shared" si="10"/>
        <v>447152.35115815705</v>
      </c>
      <c r="BJ35" s="116">
        <f t="shared" si="11"/>
        <v>866125.64884184301</v>
      </c>
      <c r="BK35" s="105">
        <f t="shared" si="12"/>
        <v>0.6595143212951432</v>
      </c>
      <c r="BL35" s="105">
        <f t="shared" si="13"/>
        <v>0.3404856787048568</v>
      </c>
      <c r="BM35" s="272" t="e">
        <f t="shared" si="14"/>
        <v>#DIV/0!</v>
      </c>
      <c r="BN35" s="116">
        <f t="shared" si="15"/>
        <v>67869.664082687334</v>
      </c>
    </row>
    <row r="36" spans="1:66" ht="25.5" x14ac:dyDescent="0.25">
      <c r="A36" s="76">
        <v>310783097</v>
      </c>
      <c r="B36" s="75" t="str">
        <f>VLOOKUP(base!A36,scansanté2024!$B$12:$L$69,2,FALSE)</f>
        <v>CENTRE DE SANTÉ MENTAL MGEN.ASSOCIATION</v>
      </c>
      <c r="C36" s="75" t="str">
        <f>VLOOKUP(base!A36,dotpop24!$B$8:$U$67,3,FALSE)</f>
        <v>EBNL</v>
      </c>
      <c r="D36" s="61">
        <f>VLOOKUP(base!A36,scansanté2024!$B$12:$L$69,4,FALSE)</f>
        <v>12964</v>
      </c>
      <c r="E36" s="118">
        <f>VLOOKUP(base!A36,scansanté2024!$B$12:$L$69,7,FALSE)</f>
        <v>200</v>
      </c>
      <c r="F36" s="118">
        <f>VLOOKUP(base!A36,scansanté2024!$B$12:$L$69,8,FALSE)</f>
        <v>0</v>
      </c>
      <c r="G36" s="118">
        <f>VLOOKUP(base!A36,scansanté2024!$B$12:$L$69,11,FALSE)</f>
        <v>194</v>
      </c>
      <c r="H36" s="118">
        <f>VLOOKUP(base!A36,dotpop24!$B$8:$U$67,20,FALSE)</f>
        <v>2328431</v>
      </c>
      <c r="I36" s="117">
        <v>0</v>
      </c>
      <c r="J36" s="117">
        <v>0</v>
      </c>
      <c r="K36" s="117">
        <v>0</v>
      </c>
      <c r="L36" s="117">
        <v>0</v>
      </c>
      <c r="M36" s="117">
        <v>0</v>
      </c>
      <c r="N36" s="117">
        <v>0</v>
      </c>
      <c r="O36" s="117">
        <v>0</v>
      </c>
      <c r="P36" s="117">
        <v>0</v>
      </c>
      <c r="Q36" s="117">
        <v>0</v>
      </c>
      <c r="R36" s="117">
        <v>0</v>
      </c>
      <c r="S36" s="117">
        <v>0</v>
      </c>
      <c r="T36" s="117">
        <v>0</v>
      </c>
      <c r="U36" s="114">
        <v>0</v>
      </c>
      <c r="V36" s="114">
        <v>0</v>
      </c>
      <c r="W36" s="114">
        <v>0</v>
      </c>
      <c r="X36" s="114">
        <v>0</v>
      </c>
      <c r="Y36" s="114">
        <v>0</v>
      </c>
      <c r="Z36" s="114">
        <v>0</v>
      </c>
      <c r="AA36" s="115">
        <f t="shared" si="5"/>
        <v>0</v>
      </c>
      <c r="AB36" s="115">
        <f t="shared" si="5"/>
        <v>0</v>
      </c>
      <c r="AC36" s="115">
        <f t="shared" si="5"/>
        <v>0</v>
      </c>
      <c r="AD36" s="115">
        <f t="shared" si="5"/>
        <v>0</v>
      </c>
      <c r="AE36" s="115">
        <f t="shared" si="5"/>
        <v>0</v>
      </c>
      <c r="AF36" s="115">
        <f t="shared" si="5"/>
        <v>0</v>
      </c>
      <c r="AG36" s="61">
        <f>VLOOKUP(base!A36,PSYSAE2023OCTOT!$F$2:$AQ$60,14,FALSE)</f>
        <v>42</v>
      </c>
      <c r="AH36" s="61">
        <v>0</v>
      </c>
      <c r="AI36" s="61">
        <v>0</v>
      </c>
      <c r="AJ36" s="61">
        <f>VLOOKUP(base!A36,PSYSAE2023OCTOT!$F$2:$AQ$60,24,FALSE)</f>
        <v>12422</v>
      </c>
      <c r="AK36" s="61">
        <v>0</v>
      </c>
      <c r="AL36" s="61">
        <v>0</v>
      </c>
      <c r="AM36" s="105">
        <f t="shared" si="6"/>
        <v>0.81030658838878022</v>
      </c>
      <c r="AN36" s="105">
        <v>0</v>
      </c>
      <c r="AO36" s="105">
        <v>0</v>
      </c>
      <c r="AP36" s="61">
        <f t="shared" si="7"/>
        <v>5.8671232876712329</v>
      </c>
      <c r="AQ36" s="61">
        <f t="shared" si="7"/>
        <v>0</v>
      </c>
      <c r="AR36" s="61">
        <f t="shared" si="7"/>
        <v>0</v>
      </c>
      <c r="AS36" s="117">
        <v>0</v>
      </c>
      <c r="AT36" s="117">
        <v>0</v>
      </c>
      <c r="AU36" s="117">
        <v>0</v>
      </c>
      <c r="AV36" s="117">
        <v>0</v>
      </c>
      <c r="AW36" s="117">
        <v>0</v>
      </c>
      <c r="AX36" s="117">
        <v>0</v>
      </c>
      <c r="AY36" s="117">
        <v>0</v>
      </c>
      <c r="AZ36" s="117">
        <v>0</v>
      </c>
      <c r="BA36" s="117">
        <v>0</v>
      </c>
      <c r="BB36" s="117">
        <v>0</v>
      </c>
      <c r="BC36" s="223">
        <f>PSYSAE2023OCTOT!AP33</f>
        <v>210</v>
      </c>
      <c r="BD36" s="223"/>
      <c r="BE36" s="268">
        <f t="shared" si="8"/>
        <v>210</v>
      </c>
      <c r="BF36" s="61">
        <f>H36/((I36+J36+K36+L36+M36+N36)+($BF$1*(AG36+AH36+AI36))+($BF$2*(AS36+AT36+AU36)))</f>
        <v>61598.703703703693</v>
      </c>
      <c r="BG36" s="124">
        <f>$BF$1*BF36</f>
        <v>55438.833333333328</v>
      </c>
      <c r="BH36" s="124">
        <f t="shared" si="9"/>
        <v>0</v>
      </c>
      <c r="BI36" s="116">
        <f t="shared" si="10"/>
        <v>325266.47009132418</v>
      </c>
      <c r="BJ36" s="116">
        <f t="shared" si="11"/>
        <v>2003164.5299086757</v>
      </c>
      <c r="BK36" s="105">
        <f t="shared" si="12"/>
        <v>0.86030658838878016</v>
      </c>
      <c r="BL36" s="105">
        <f t="shared" si="13"/>
        <v>0.13969341161121984</v>
      </c>
      <c r="BM36" s="272">
        <f t="shared" si="14"/>
        <v>11087.766666666666</v>
      </c>
      <c r="BN36" s="116">
        <f t="shared" si="15"/>
        <v>11087.766666666666</v>
      </c>
    </row>
    <row r="37" spans="1:66" ht="25.5" x14ac:dyDescent="0.25">
      <c r="A37" s="76">
        <v>310795463</v>
      </c>
      <c r="B37" s="75" t="str">
        <f>VLOOKUP(base!A37,scansanté2024!$B$12:$L$69,2,FALSE)</f>
        <v>CENTRE POST CURE CENTRE APRES</v>
      </c>
      <c r="C37" s="75" t="str">
        <f>VLOOKUP(base!A37,dotpop24!$B$8:$U$67,3,FALSE)</f>
        <v>EBNL</v>
      </c>
      <c r="D37" s="61">
        <f>VLOOKUP(base!A37,scansanté2024!$B$12:$L$69,4,FALSE)</f>
        <v>7882</v>
      </c>
      <c r="E37" s="118">
        <f>VLOOKUP(base!A37,scansanté2024!$B$12:$L$69,7,FALSE)</f>
        <v>138</v>
      </c>
      <c r="F37" s="118">
        <f>VLOOKUP(base!A37,scansanté2024!$B$12:$L$69,8,FALSE)</f>
        <v>0</v>
      </c>
      <c r="G37" s="118">
        <f>VLOOKUP(base!A37,scansanté2024!$B$12:$L$69,11,FALSE)</f>
        <v>70</v>
      </c>
      <c r="H37" s="118">
        <f>VLOOKUP(base!A37,dotpop24!$B$8:$U$67,20,FALSE)</f>
        <v>1868998</v>
      </c>
      <c r="I37" s="117">
        <v>0</v>
      </c>
      <c r="J37" s="117">
        <v>0</v>
      </c>
      <c r="K37" s="117">
        <v>0</v>
      </c>
      <c r="L37" s="117">
        <f>VLOOKUP(base!A37,PSYSAE2023OCTOT!$F$2:$AQ$60,10,FALSE)</f>
        <v>19</v>
      </c>
      <c r="M37" s="117">
        <v>0</v>
      </c>
      <c r="N37" s="117">
        <v>0</v>
      </c>
      <c r="O37" s="117">
        <v>0</v>
      </c>
      <c r="P37" s="117">
        <v>0</v>
      </c>
      <c r="Q37" s="117">
        <v>0</v>
      </c>
      <c r="R37" s="117">
        <f>VLOOKUP(base!A37,PSYSAE2023OCTOT!$F$2:$AQ$60,21,FALSE)</f>
        <v>4539</v>
      </c>
      <c r="S37" s="117">
        <v>0</v>
      </c>
      <c r="T37" s="117">
        <v>0</v>
      </c>
      <c r="U37" s="114">
        <v>0</v>
      </c>
      <c r="V37" s="114">
        <v>0</v>
      </c>
      <c r="W37" s="114">
        <v>0</v>
      </c>
      <c r="X37" s="114">
        <f t="shared" si="4"/>
        <v>0.65450612833453492</v>
      </c>
      <c r="Y37" s="114">
        <v>0</v>
      </c>
      <c r="Z37" s="114">
        <v>0</v>
      </c>
      <c r="AA37" s="115">
        <f t="shared" si="5"/>
        <v>0</v>
      </c>
      <c r="AB37" s="115">
        <f t="shared" si="5"/>
        <v>0</v>
      </c>
      <c r="AC37" s="115">
        <f t="shared" si="5"/>
        <v>0</v>
      </c>
      <c r="AD37" s="115">
        <f t="shared" si="5"/>
        <v>4.6643835616438354</v>
      </c>
      <c r="AE37" s="115">
        <f t="shared" si="5"/>
        <v>0</v>
      </c>
      <c r="AF37" s="115">
        <f t="shared" si="5"/>
        <v>0</v>
      </c>
      <c r="AG37" s="61">
        <f>VLOOKUP(base!A37,PSYSAE2023OCTOT!$F$2:$AQ$60,14,FALSE)</f>
        <v>31</v>
      </c>
      <c r="AH37" s="61">
        <v>0</v>
      </c>
      <c r="AI37" s="61">
        <v>0</v>
      </c>
      <c r="AJ37" s="61">
        <f>VLOOKUP(base!A37,PSYSAE2023OCTOT!$F$2:$AQ$60,24,FALSE)</f>
        <v>4378</v>
      </c>
      <c r="AK37" s="61">
        <v>0</v>
      </c>
      <c r="AL37" s="61">
        <v>0</v>
      </c>
      <c r="AM37" s="105">
        <f t="shared" si="6"/>
        <v>0.38692001767565182</v>
      </c>
      <c r="AN37" s="105">
        <v>0</v>
      </c>
      <c r="AO37" s="105">
        <v>0</v>
      </c>
      <c r="AP37" s="61">
        <f t="shared" si="7"/>
        <v>17.455479452054796</v>
      </c>
      <c r="AQ37" s="61">
        <f t="shared" si="7"/>
        <v>0</v>
      </c>
      <c r="AR37" s="61">
        <f t="shared" si="7"/>
        <v>0</v>
      </c>
      <c r="AS37" s="117">
        <v>0</v>
      </c>
      <c r="AT37" s="117">
        <v>0</v>
      </c>
      <c r="AU37" s="117">
        <v>0</v>
      </c>
      <c r="AV37" s="117">
        <v>0</v>
      </c>
      <c r="AW37" s="117">
        <v>0</v>
      </c>
      <c r="AX37" s="117">
        <v>0</v>
      </c>
      <c r="AY37" s="117">
        <v>0</v>
      </c>
      <c r="AZ37" s="117">
        <v>0</v>
      </c>
      <c r="BA37" s="117">
        <v>0</v>
      </c>
      <c r="BB37" s="117">
        <v>0</v>
      </c>
      <c r="BC37" s="223">
        <f>PSYSAE2023OCTOT!AP34</f>
        <v>71</v>
      </c>
      <c r="BD37" s="223">
        <f>PSYSAE2023OCTOT!AQ34</f>
        <v>0</v>
      </c>
      <c r="BE37" s="268">
        <f t="shared" si="8"/>
        <v>71</v>
      </c>
      <c r="BF37" s="61">
        <f>H37/((I37+J37+K37+L37+M37+N37)+($BF$1*(AG37+AH37+AI37))+($BF$2*(AS37+AT37+AU37)))</f>
        <v>39850.703624733469</v>
      </c>
      <c r="BG37" s="124">
        <f>$BF$1*BF37</f>
        <v>35865.633262260126</v>
      </c>
      <c r="BH37" s="124">
        <f t="shared" si="9"/>
        <v>185878.9669071472</v>
      </c>
      <c r="BI37" s="116">
        <f t="shared" si="10"/>
        <v>626051.82444431458</v>
      </c>
      <c r="BJ37" s="116">
        <f t="shared" si="11"/>
        <v>1057067.2086485382</v>
      </c>
      <c r="BK37" s="105">
        <f t="shared" si="12"/>
        <v>0.56557963606624417</v>
      </c>
      <c r="BL37" s="105">
        <f t="shared" si="13"/>
        <v>0.43442036393375583</v>
      </c>
      <c r="BM37" s="272">
        <f t="shared" si="14"/>
        <v>26323.915492957745</v>
      </c>
      <c r="BN37" s="116">
        <f t="shared" si="15"/>
        <v>26323.915492957745</v>
      </c>
    </row>
    <row r="38" spans="1:66" x14ac:dyDescent="0.25">
      <c r="A38" s="76">
        <v>320780109</v>
      </c>
      <c r="B38" s="75" t="str">
        <f>VLOOKUP(base!A38,scansanté2024!$B$12:$L$69,2,FALSE)</f>
        <v>SARL CLINIQUE D'EMBATS</v>
      </c>
      <c r="C38" s="75" t="str">
        <f>VLOOKUP(base!A38,dotpop24!$B$8:$U$67,3,FALSE)</f>
        <v>EBL</v>
      </c>
      <c r="D38" s="61">
        <f>VLOOKUP(base!A38,scansanté2024!$B$12:$L$69,4,FALSE)</f>
        <v>30504</v>
      </c>
      <c r="E38" s="118">
        <f>VLOOKUP(base!A38,scansanté2024!$B$12:$L$69,7,FALSE)</f>
        <v>926</v>
      </c>
      <c r="F38" s="118">
        <f>VLOOKUP(base!A38,scansanté2024!$B$12:$L$69,8,FALSE)</f>
        <v>0</v>
      </c>
      <c r="G38" s="118">
        <f>VLOOKUP(base!A38,scansanté2024!$B$12:$L$69,11,FALSE)</f>
        <v>528</v>
      </c>
      <c r="H38" s="118">
        <f>VLOOKUP(base!A38,dotpop24!$B$8:$U$67,20,FALSE)</f>
        <v>697152</v>
      </c>
      <c r="I38" s="117">
        <f>VLOOKUP(base!A38,PSYSAE2023OCTOT!$F$2:$AQ$60,7,FALSE)</f>
        <v>68</v>
      </c>
      <c r="J38" s="117">
        <v>0</v>
      </c>
      <c r="K38" s="117">
        <v>0</v>
      </c>
      <c r="L38" s="117">
        <v>0</v>
      </c>
      <c r="M38" s="117">
        <v>0</v>
      </c>
      <c r="N38" s="117">
        <v>0</v>
      </c>
      <c r="O38" s="117">
        <f>VLOOKUP(base!A38,PSYSAE2023OCTOT!$F$2:$AQ$60,18,FALSE)</f>
        <v>20376</v>
      </c>
      <c r="P38" s="117">
        <v>0</v>
      </c>
      <c r="Q38" s="117">
        <v>0</v>
      </c>
      <c r="R38" s="117">
        <v>0</v>
      </c>
      <c r="S38" s="117">
        <v>0</v>
      </c>
      <c r="T38" s="117">
        <v>0</v>
      </c>
      <c r="U38" s="114">
        <f t="shared" si="2"/>
        <v>0.82095084609186142</v>
      </c>
      <c r="V38" s="114">
        <v>0</v>
      </c>
      <c r="W38" s="114">
        <v>0</v>
      </c>
      <c r="X38" s="114">
        <v>0</v>
      </c>
      <c r="Y38" s="114">
        <v>0</v>
      </c>
      <c r="Z38" s="114">
        <v>0</v>
      </c>
      <c r="AA38" s="115">
        <f t="shared" si="5"/>
        <v>5.375342465753425</v>
      </c>
      <c r="AB38" s="115">
        <f t="shared" si="5"/>
        <v>0</v>
      </c>
      <c r="AC38" s="115">
        <f t="shared" si="5"/>
        <v>0</v>
      </c>
      <c r="AD38" s="115">
        <f t="shared" si="5"/>
        <v>0</v>
      </c>
      <c r="AE38" s="115">
        <f t="shared" si="5"/>
        <v>0</v>
      </c>
      <c r="AF38" s="115">
        <f t="shared" si="5"/>
        <v>0</v>
      </c>
      <c r="AG38" s="61">
        <f>VLOOKUP(base!A38,PSYSAE2023OCTOT!$F$2:$AQ$60,14,FALSE)</f>
        <v>20</v>
      </c>
      <c r="AH38" s="61">
        <v>0</v>
      </c>
      <c r="AI38" s="61">
        <v>0</v>
      </c>
      <c r="AJ38" s="61">
        <f>VLOOKUP(base!A38,PSYSAE2023OCTOT!$F$2:$AQ$60,24,FALSE)</f>
        <v>7127</v>
      </c>
      <c r="AK38" s="61">
        <v>0</v>
      </c>
      <c r="AL38" s="61">
        <v>0</v>
      </c>
      <c r="AM38" s="105">
        <f t="shared" si="6"/>
        <v>0.97630136986301375</v>
      </c>
      <c r="AN38" s="105">
        <v>0</v>
      </c>
      <c r="AO38" s="105">
        <v>0</v>
      </c>
      <c r="AP38" s="61">
        <f t="shared" si="7"/>
        <v>0</v>
      </c>
      <c r="AQ38" s="61">
        <f t="shared" si="7"/>
        <v>0</v>
      </c>
      <c r="AR38" s="61">
        <f t="shared" si="7"/>
        <v>0</v>
      </c>
      <c r="AS38" s="117">
        <v>0</v>
      </c>
      <c r="AT38" s="117">
        <v>0</v>
      </c>
      <c r="AU38" s="117">
        <v>0</v>
      </c>
      <c r="AV38" s="117">
        <v>0</v>
      </c>
      <c r="AW38" s="117">
        <v>0</v>
      </c>
      <c r="AX38" s="117">
        <v>0</v>
      </c>
      <c r="AY38" s="117">
        <v>0</v>
      </c>
      <c r="AZ38" s="117">
        <v>0</v>
      </c>
      <c r="BA38" s="117">
        <v>0</v>
      </c>
      <c r="BB38" s="117">
        <v>0</v>
      </c>
      <c r="BC38" s="223">
        <f>PSYSAE2023OCTOT!AP35</f>
        <v>462</v>
      </c>
      <c r="BD38" s="223"/>
      <c r="BE38" s="268">
        <f t="shared" si="8"/>
        <v>462</v>
      </c>
      <c r="BF38" s="61">
        <f>H38/((I38+J38+K38+L38+M38+N38)+($BF$1*(AG38+AH38+AI38))+($BF$2*(AS38+AT38+AU38)))</f>
        <v>8106.4186046511632</v>
      </c>
      <c r="BG38" s="124">
        <f>$BF$1*BF38</f>
        <v>7295.7767441860469</v>
      </c>
      <c r="BH38" s="124">
        <f t="shared" si="9"/>
        <v>43574.776170755023</v>
      </c>
      <c r="BI38" s="116">
        <f t="shared" si="10"/>
        <v>0</v>
      </c>
      <c r="BJ38" s="116">
        <f t="shared" si="11"/>
        <v>653577.22382924496</v>
      </c>
      <c r="BK38" s="105">
        <f t="shared" si="12"/>
        <v>0.93749601784007641</v>
      </c>
      <c r="BL38" s="105">
        <f t="shared" si="13"/>
        <v>6.2503982159923588E-2</v>
      </c>
      <c r="BM38" s="272">
        <f t="shared" si="14"/>
        <v>1508.987012987013</v>
      </c>
      <c r="BN38" s="116">
        <f t="shared" si="15"/>
        <v>1508.987012987013</v>
      </c>
    </row>
    <row r="39" spans="1:66" s="107" customFormat="1" x14ac:dyDescent="0.25">
      <c r="A39" s="153">
        <v>320780125</v>
      </c>
      <c r="B39" s="75" t="str">
        <f>VLOOKUP(base!A39,scansanté2024!$B$12:$L$69,2,FALSE)</f>
        <v>CH DU GERS</v>
      </c>
      <c r="C39" s="75" t="str">
        <f>VLOOKUP(base!A39,dotpop24!$B$8:$U$67,3,FALSE)</f>
        <v>EPS</v>
      </c>
      <c r="D39" s="154">
        <f>VLOOKUP(base!A39,scansanté2024!$B$12:$L$69,4,FALSE)</f>
        <v>40722</v>
      </c>
      <c r="E39" s="155">
        <f>VLOOKUP(base!A39,scansanté2024!$B$12:$L$69,7,FALSE)</f>
        <v>1412</v>
      </c>
      <c r="F39" s="155">
        <f>VLOOKUP(base!A39,scansanté2024!$B$12:$L$69,8,FALSE)</f>
        <v>61078</v>
      </c>
      <c r="G39" s="155">
        <f>VLOOKUP(base!A39,scansanté2024!$B$12:$L$69,11,FALSE)</f>
        <v>5373</v>
      </c>
      <c r="H39" s="155">
        <f>VLOOKUP(base!A39,dotpop24!$B$8:$U$67,20,FALSE)</f>
        <v>30069533</v>
      </c>
      <c r="I39" s="156">
        <f>VLOOKUP(base!A39,PSYSAE2023OCTOT!$F$2:$AQ$60,7,FALSE)</f>
        <v>122</v>
      </c>
      <c r="J39" s="156">
        <f>VLOOKUP(base!A39,PSYSAE2023OCTOT!$F$2:$AQ$60,8,FALSE)</f>
        <v>0</v>
      </c>
      <c r="K39" s="156">
        <f>VLOOKUP(base!A39,PSYSAE2023OCTOT!$F$2:$AQ$60,9,FALSE)</f>
        <v>0</v>
      </c>
      <c r="L39" s="156">
        <f>VLOOKUP(base!A39,PSYSAE2023OCTOT!$F$2:$AQ$60,10,FALSE)</f>
        <v>0</v>
      </c>
      <c r="M39" s="156">
        <f>VLOOKUP(base!A39,PSYSAE2023OCTOT!$F$2:$AQ$60,11,FALSE)</f>
        <v>0</v>
      </c>
      <c r="N39" s="156">
        <f>VLOOKUP(base!A39,PSYSAE2023OCTOT!$F$2:$AQ$60,12,FALSE)</f>
        <v>0</v>
      </c>
      <c r="O39" s="156">
        <f>VLOOKUP(base!A39,PSYSAE2023OCTOT!$F$2:$AQ$60,18,FALSE)</f>
        <v>39076</v>
      </c>
      <c r="P39" s="156">
        <f>VLOOKUP(base!A39,PSYSAE2023OCTOT!$F$2:$AQ$60,19,FALSE)</f>
        <v>0</v>
      </c>
      <c r="Q39" s="156">
        <f>VLOOKUP(base!A39,PSYSAE2023OCTOT!$F$2:$AQ$60,20,FALSE)</f>
        <v>0</v>
      </c>
      <c r="R39" s="156">
        <f>VLOOKUP(base!A39,PSYSAE2023OCTOT!$F$2:$AQ$60,21,FALSE)</f>
        <v>0</v>
      </c>
      <c r="S39" s="156">
        <f>VLOOKUP(base!A39,PSYSAE2023OCTOT!$F$2:$AQ$60,22,FALSE)</f>
        <v>0</v>
      </c>
      <c r="T39" s="156">
        <f>VLOOKUP(base!A39,PSYSAE2023OCTOT!$F$2:$AQ$60,23,FALSE)</f>
        <v>0</v>
      </c>
      <c r="U39" s="157">
        <f t="shared" si="2"/>
        <v>0.87752077251291261</v>
      </c>
      <c r="V39" s="157">
        <v>0</v>
      </c>
      <c r="W39" s="157">
        <v>0</v>
      </c>
      <c r="X39" s="157">
        <v>0</v>
      </c>
      <c r="Y39" s="157">
        <v>0</v>
      </c>
      <c r="Z39" s="157">
        <v>0</v>
      </c>
      <c r="AA39" s="158">
        <f t="shared" si="5"/>
        <v>2.7424657534246575</v>
      </c>
      <c r="AB39" s="158">
        <f t="shared" si="5"/>
        <v>0</v>
      </c>
      <c r="AC39" s="158">
        <f t="shared" si="5"/>
        <v>0</v>
      </c>
      <c r="AD39" s="158">
        <f t="shared" si="5"/>
        <v>0</v>
      </c>
      <c r="AE39" s="158">
        <f t="shared" si="5"/>
        <v>0</v>
      </c>
      <c r="AF39" s="158">
        <f t="shared" si="5"/>
        <v>0</v>
      </c>
      <c r="AG39" s="154">
        <f>VLOOKUP(base!A39,PSYSAE2023OCTOT!$F$2:$AQ$60,14,FALSE)</f>
        <v>44</v>
      </c>
      <c r="AH39" s="154">
        <f>VLOOKUP(base!A39,PSYSAE2023OCTOT!$F$2:$AQ$60,15,FALSE)</f>
        <v>8</v>
      </c>
      <c r="AI39" s="154">
        <f>VLOOKUP(base!A39,PSYSAE2023OCTOT!$F$2:$AQ$60,16,FALSE)</f>
        <v>1</v>
      </c>
      <c r="AJ39" s="154">
        <f>VLOOKUP(base!A39,PSYSAE2023OCTOT!$F$2:$AQ$60,24,FALSE)</f>
        <v>5380</v>
      </c>
      <c r="AK39" s="154">
        <f>VLOOKUP(base!A39,PSYSAE2023OCTOT!$F$2:$AQ$60,25,FALSE)</f>
        <v>208</v>
      </c>
      <c r="AL39" s="154">
        <f>VLOOKUP(base!A39,PSYSAE2023OCTOT!$F$2:$AQ$60,26,FALSE)</f>
        <v>1198</v>
      </c>
      <c r="AM39" s="159">
        <f t="shared" si="6"/>
        <v>0.33499377334993774</v>
      </c>
      <c r="AN39" s="159">
        <f t="shared" si="16"/>
        <v>7.1232876712328766E-2</v>
      </c>
      <c r="AO39" s="159">
        <f t="shared" si="17"/>
        <v>3.2821917808219179</v>
      </c>
      <c r="AP39" s="154">
        <f t="shared" si="7"/>
        <v>27.06027397260274</v>
      </c>
      <c r="AQ39" s="154">
        <f t="shared" si="7"/>
        <v>7.0301369863013701</v>
      </c>
      <c r="AR39" s="154">
        <f t="shared" si="7"/>
        <v>0</v>
      </c>
      <c r="AS39" s="156">
        <f>VLOOKUP(base!A39,PSYSAE2023OCTOT!$F$2:$AQ$60,27,FALSE)</f>
        <v>13</v>
      </c>
      <c r="AT39" s="156">
        <f>VLOOKUP(base!A39,PSYSAE2023OCTOT!$F$2:$AQ$60,28,FALSE)</f>
        <v>7</v>
      </c>
      <c r="AU39" s="156">
        <f>VLOOKUP(base!A39,PSYSAE2023OCTOT!$F$2:$AQ$60,29,FALSE)</f>
        <v>8</v>
      </c>
      <c r="AV39" s="156">
        <f>VLOOKUP(base!A39,PSYSAE2023OCTOT!$F$2:$AQ$60,30,FALSE)</f>
        <v>33172</v>
      </c>
      <c r="AW39" s="156">
        <f>VLOOKUP(base!A39,PSYSAE2023OCTOT!$F$2:$AQ$60,31,FALSE)</f>
        <v>6910</v>
      </c>
      <c r="AX39" s="156">
        <f>VLOOKUP(base!A39,PSYSAE2023OCTOT!$F$2:$AQ$60,32,FALSE)</f>
        <v>4667</v>
      </c>
      <c r="AY39" s="156">
        <f>VLOOKUP(base!A39,PSYSAE2023OCTOT!$F$2:$AQ$60,33,FALSE)</f>
        <v>10866</v>
      </c>
      <c r="AZ39" s="156">
        <f>VLOOKUP(base!A39,PSYSAE2023OCTOT!$F$2:$AQ$60,34,FALSE)</f>
        <v>1011</v>
      </c>
      <c r="BA39" s="156">
        <f>VLOOKUP(base!A39,PSYSAE2023OCTOT!$F$2:$AQ$60,35,FALSE)</f>
        <v>1624</v>
      </c>
      <c r="BB39" s="156">
        <f>VLOOKUP(base!A39,PSYSAE2023OCTOT!$F$2:$AQ$60,36,FALSE)</f>
        <v>29</v>
      </c>
      <c r="BC39" s="223">
        <f>PSYSAE2023OCTOT!AP36</f>
        <v>5192</v>
      </c>
      <c r="BD39" s="223">
        <f>PSYSAE2023OCTOT!AQ36</f>
        <v>3868</v>
      </c>
      <c r="BE39" s="268">
        <f t="shared" si="8"/>
        <v>1324</v>
      </c>
      <c r="BF39" s="61">
        <f>H39/((I39+J39+K39+L39+M39+N39)+($BF$1*(AG39+AH39+AI39))+($BF$2*(AS39+AT39+AU39)))</f>
        <v>170849.61931818182</v>
      </c>
      <c r="BG39" s="124">
        <f>$BF$1*BF39</f>
        <v>153764.65738636366</v>
      </c>
      <c r="BH39" s="124">
        <f t="shared" si="9"/>
        <v>468549.22996575345</v>
      </c>
      <c r="BI39" s="116">
        <f t="shared" si="10"/>
        <v>5241900.3612562269</v>
      </c>
      <c r="BJ39" s="116">
        <f t="shared" si="11"/>
        <v>24359083.408778019</v>
      </c>
      <c r="BK39" s="105">
        <f t="shared" si="12"/>
        <v>0.81009184308841842</v>
      </c>
      <c r="BL39" s="105">
        <f t="shared" si="13"/>
        <v>0.18990815691158158</v>
      </c>
      <c r="BM39" s="272">
        <f t="shared" si="14"/>
        <v>22711.127643504533</v>
      </c>
      <c r="BN39" s="116">
        <f t="shared" si="15"/>
        <v>13703.474000820306</v>
      </c>
    </row>
    <row r="40" spans="1:66" x14ac:dyDescent="0.25">
      <c r="A40" s="76">
        <v>340010149</v>
      </c>
      <c r="B40" s="75" t="str">
        <f>VLOOKUP(base!A40,scansanté2024!$B$12:$L$69,2,FALSE)</f>
        <v>SAS CLINIQUE SAINT CLEMENT</v>
      </c>
      <c r="C40" s="75" t="str">
        <f>VLOOKUP(base!A40,dotpop24!$B$8:$U$67,3,FALSE)</f>
        <v>EBL</v>
      </c>
      <c r="D40" s="61">
        <f>VLOOKUP(base!A40,scansanté2024!$B$12:$L$69,4,FALSE)</f>
        <v>26981</v>
      </c>
      <c r="E40" s="118">
        <f>VLOOKUP(base!A40,scansanté2024!$B$12:$L$69,7,FALSE)</f>
        <v>415</v>
      </c>
      <c r="F40" s="118">
        <f>VLOOKUP(base!A40,scansanté2024!$B$12:$L$69,8,FALSE)</f>
        <v>0</v>
      </c>
      <c r="G40" s="118">
        <f>VLOOKUP(base!A40,scansanté2024!$B$12:$L$69,11,FALSE)</f>
        <v>254</v>
      </c>
      <c r="H40" s="118">
        <f>VLOOKUP(base!A40,dotpop24!$B$8:$U$67,20,FALSE)</f>
        <v>552021</v>
      </c>
      <c r="I40" s="117">
        <f>VLOOKUP(base!A40,PSYSAE2023OCTOT!$F$2:$AQ$60,7,FALSE)</f>
        <v>70</v>
      </c>
      <c r="J40" s="117">
        <v>0</v>
      </c>
      <c r="K40" s="117">
        <v>0</v>
      </c>
      <c r="L40" s="117">
        <v>0</v>
      </c>
      <c r="M40" s="117">
        <v>0</v>
      </c>
      <c r="N40" s="117">
        <v>0</v>
      </c>
      <c r="O40" s="117">
        <f>VLOOKUP(base!A40,PSYSAE2023OCTOT!$F$2:$AQ$60,18,FALSE)</f>
        <v>23846</v>
      </c>
      <c r="P40" s="117">
        <v>0</v>
      </c>
      <c r="Q40" s="117">
        <v>0</v>
      </c>
      <c r="R40" s="117">
        <v>0</v>
      </c>
      <c r="S40" s="117">
        <v>0</v>
      </c>
      <c r="T40" s="117">
        <v>0</v>
      </c>
      <c r="U40" s="114">
        <f t="shared" si="2"/>
        <v>0.933307240704501</v>
      </c>
      <c r="V40" s="114">
        <v>0</v>
      </c>
      <c r="W40" s="114">
        <v>0</v>
      </c>
      <c r="X40" s="114">
        <v>0</v>
      </c>
      <c r="Y40" s="114">
        <v>0</v>
      </c>
      <c r="Z40" s="114">
        <v>0</v>
      </c>
      <c r="AA40" s="115">
        <f t="shared" si="5"/>
        <v>0</v>
      </c>
      <c r="AB40" s="115">
        <f t="shared" si="5"/>
        <v>0</v>
      </c>
      <c r="AC40" s="115">
        <f t="shared" si="5"/>
        <v>0</v>
      </c>
      <c r="AD40" s="115">
        <f t="shared" si="5"/>
        <v>0</v>
      </c>
      <c r="AE40" s="115">
        <f t="shared" si="5"/>
        <v>0</v>
      </c>
      <c r="AF40" s="115">
        <f t="shared" si="5"/>
        <v>0</v>
      </c>
      <c r="AG40" s="61">
        <f>VLOOKUP(base!A40,PSYSAE2023OCTOT!$F$2:$AQ$60,14,FALSE)</f>
        <v>12</v>
      </c>
      <c r="AH40" s="61">
        <v>0</v>
      </c>
      <c r="AI40" s="61">
        <v>0</v>
      </c>
      <c r="AJ40" s="61">
        <f>VLOOKUP(base!A40,PSYSAE2023OCTOT!$F$2:$AQ$60,24,FALSE)</f>
        <v>5259</v>
      </c>
      <c r="AK40" s="61">
        <v>0</v>
      </c>
      <c r="AL40" s="61">
        <v>0</v>
      </c>
      <c r="AM40" s="105">
        <f t="shared" si="6"/>
        <v>1.2006849315068493</v>
      </c>
      <c r="AN40" s="105">
        <v>0</v>
      </c>
      <c r="AO40" s="105">
        <v>0</v>
      </c>
      <c r="AP40" s="61">
        <f t="shared" si="7"/>
        <v>0</v>
      </c>
      <c r="AQ40" s="61">
        <f t="shared" si="7"/>
        <v>0</v>
      </c>
      <c r="AR40" s="61">
        <f t="shared" si="7"/>
        <v>0</v>
      </c>
      <c r="AS40" s="117">
        <v>0</v>
      </c>
      <c r="AT40" s="117">
        <v>0</v>
      </c>
      <c r="AU40" s="117">
        <v>0</v>
      </c>
      <c r="AV40" s="117">
        <v>0</v>
      </c>
      <c r="AW40" s="117">
        <v>0</v>
      </c>
      <c r="AX40" s="117">
        <v>0</v>
      </c>
      <c r="AY40" s="117">
        <v>0</v>
      </c>
      <c r="AZ40" s="117">
        <v>0</v>
      </c>
      <c r="BA40" s="117">
        <v>0</v>
      </c>
      <c r="BB40" s="117">
        <v>0</v>
      </c>
      <c r="BC40" s="223">
        <f>PSYSAE2023OCTOT!AP37</f>
        <v>341</v>
      </c>
      <c r="BD40" s="223"/>
      <c r="BE40" s="268">
        <f t="shared" si="8"/>
        <v>341</v>
      </c>
      <c r="BF40" s="61">
        <f>H40/((I40+J40+K40+L40+M40+N40)+($BF$1*(AG40+AH40+AI40))+($BF$2*(AS40+AT40+AU40)))</f>
        <v>6831.9430693069307</v>
      </c>
      <c r="BG40" s="124">
        <f>$BF$1*BF40</f>
        <v>6148.7487623762381</v>
      </c>
      <c r="BH40" s="124">
        <f t="shared" si="9"/>
        <v>0</v>
      </c>
      <c r="BI40" s="116">
        <f t="shared" si="10"/>
        <v>0</v>
      </c>
      <c r="BJ40" s="116">
        <f t="shared" si="11"/>
        <v>552021</v>
      </c>
      <c r="BK40" s="105">
        <f t="shared" si="12"/>
        <v>1</v>
      </c>
      <c r="BL40" s="105">
        <f t="shared" si="13"/>
        <v>0</v>
      </c>
      <c r="BM40" s="272">
        <f t="shared" si="14"/>
        <v>1618.8299120234603</v>
      </c>
      <c r="BN40" s="116">
        <f t="shared" si="15"/>
        <v>1618.8299120234603</v>
      </c>
    </row>
    <row r="41" spans="1:66" ht="25.5" x14ac:dyDescent="0.25">
      <c r="A41" s="76">
        <v>340011295</v>
      </c>
      <c r="B41" s="75" t="str">
        <f>VLOOKUP(base!A41,scansanté2024!$B$12:$L$69,2,FALSE)</f>
        <v>LES HÔPITAUX DU BASSIN DE THAU</v>
      </c>
      <c r="C41" s="75" t="str">
        <f>VLOOKUP(base!A41,dotpop24!$B$8:$U$67,3,FALSE)</f>
        <v>EPS</v>
      </c>
      <c r="D41" s="61">
        <f>VLOOKUP(base!A41,scansanté2024!$B$12:$L$69,4,FALSE)</f>
        <v>8560</v>
      </c>
      <c r="E41" s="118">
        <f>VLOOKUP(base!A41,scansanté2024!$B$12:$L$69,7,FALSE)</f>
        <v>5208</v>
      </c>
      <c r="F41" s="118">
        <f>VLOOKUP(base!A41,scansanté2024!$B$12:$L$69,8,FALSE)</f>
        <v>36581</v>
      </c>
      <c r="G41" s="118">
        <f>VLOOKUP(base!A41,scansanté2024!$B$12:$L$69,11,FALSE)</f>
        <v>3021</v>
      </c>
      <c r="H41" s="118">
        <f>VLOOKUP(base!A41,dotpop24!$B$8:$U$67,20,FALSE)</f>
        <v>7441295</v>
      </c>
      <c r="I41" s="117">
        <f>VLOOKUP(base!A41,PSYSAE2023OCTOT!$F$2:$AQ$60,7,FALSE)</f>
        <v>14</v>
      </c>
      <c r="J41" s="117">
        <v>0</v>
      </c>
      <c r="K41" s="117">
        <v>0</v>
      </c>
      <c r="L41" s="117">
        <v>0</v>
      </c>
      <c r="M41" s="117">
        <v>0</v>
      </c>
      <c r="N41" s="117">
        <f>VLOOKUP(base!A41,PSYSAE2023OCTOT!$F$2:$AQ$60,12,FALSE)</f>
        <v>12</v>
      </c>
      <c r="O41" s="117">
        <f>VLOOKUP(base!A41,PSYSAE2023OCTOT!$F$2:$AQ$60,18,FALSE)</f>
        <v>4915</v>
      </c>
      <c r="P41" s="117">
        <v>0</v>
      </c>
      <c r="Q41" s="117">
        <v>0</v>
      </c>
      <c r="R41" s="117">
        <v>0</v>
      </c>
      <c r="S41" s="117">
        <v>0</v>
      </c>
      <c r="T41" s="117">
        <f>VLOOKUP(base!A41,PSYSAE2023OCTOT!$F$2:$AQ$60,23,FALSE)</f>
        <v>2731</v>
      </c>
      <c r="U41" s="114">
        <f t="shared" si="2"/>
        <v>0.96183953033268099</v>
      </c>
      <c r="V41" s="114">
        <v>0</v>
      </c>
      <c r="W41" s="114">
        <v>0</v>
      </c>
      <c r="X41" s="114">
        <v>0</v>
      </c>
      <c r="Y41" s="114">
        <v>0</v>
      </c>
      <c r="Z41" s="114">
        <f t="shared" si="4"/>
        <v>0.62351598173515976</v>
      </c>
      <c r="AA41" s="115">
        <f t="shared" si="5"/>
        <v>0</v>
      </c>
      <c r="AB41" s="115">
        <f t="shared" si="5"/>
        <v>0</v>
      </c>
      <c r="AC41" s="115">
        <f t="shared" si="5"/>
        <v>0</v>
      </c>
      <c r="AD41" s="115">
        <f t="shared" si="5"/>
        <v>0</v>
      </c>
      <c r="AE41" s="115">
        <f t="shared" si="5"/>
        <v>0</v>
      </c>
      <c r="AF41" s="115">
        <f t="shared" si="5"/>
        <v>3.3178082191780836</v>
      </c>
      <c r="AG41" s="61">
        <f>VLOOKUP(base!A41,PSYSAE2023OCTOT!$F$2:$AQ$60,14,FALSE)</f>
        <v>31</v>
      </c>
      <c r="AH41" s="61">
        <f>VLOOKUP(base!A41,PSYSAE2023OCTOT!$F$2:$AQ$60,15,FALSE)</f>
        <v>0</v>
      </c>
      <c r="AI41" s="61">
        <f>VLOOKUP(base!A41,PSYSAE2023OCTOT!$F$2:$AQ$60,16,FALSE)</f>
        <v>1</v>
      </c>
      <c r="AJ41" s="61">
        <f>VLOOKUP(base!A41,PSYSAE2023OCTOT!$F$2:$AQ$60,24,FALSE)</f>
        <v>4665</v>
      </c>
      <c r="AK41" s="61">
        <v>0</v>
      </c>
      <c r="AL41" s="61">
        <f>VLOOKUP(base!A41,PSYSAE2023OCTOT!$F$2:$AQ$60,26,FALSE)</f>
        <v>1780</v>
      </c>
      <c r="AM41" s="105">
        <f t="shared" si="6"/>
        <v>0.41228457799381352</v>
      </c>
      <c r="AN41" s="105">
        <v>0</v>
      </c>
      <c r="AO41" s="105">
        <f t="shared" si="17"/>
        <v>4.8767123287671232</v>
      </c>
      <c r="AP41" s="61">
        <f t="shared" si="7"/>
        <v>16.669178082191781</v>
      </c>
      <c r="AQ41" s="61">
        <f t="shared" si="7"/>
        <v>0</v>
      </c>
      <c r="AR41" s="61">
        <f t="shared" si="7"/>
        <v>0</v>
      </c>
      <c r="AS41" s="117">
        <f>VLOOKUP(base!A41,PSYSAE2023OCTOT!$F$2:$AQ$60,27,FALSE)</f>
        <v>4</v>
      </c>
      <c r="AT41" s="117">
        <f>VLOOKUP(base!A41,PSYSAE2023OCTOT!$F$2:$AQ$60,28,FALSE)</f>
        <v>3</v>
      </c>
      <c r="AU41" s="117">
        <f>VLOOKUP(base!A41,PSYSAE2023OCTOT!$F$2:$AQ$60,29,FALSE)</f>
        <v>2</v>
      </c>
      <c r="AV41" s="117">
        <f>VLOOKUP(base!A41,PSYSAE2023OCTOT!$F$2:$AQ$60,30,FALSE)</f>
        <v>15775</v>
      </c>
      <c r="AW41" s="117">
        <f>VLOOKUP(base!A41,PSYSAE2023OCTOT!$F$2:$AQ$60,31,FALSE)</f>
        <v>6131</v>
      </c>
      <c r="AX41" s="117">
        <f>VLOOKUP(base!A41,PSYSAE2023OCTOT!$F$2:$AQ$60,32,FALSE)</f>
        <v>2189</v>
      </c>
      <c r="AY41" s="117">
        <f>VLOOKUP(base!A41,PSYSAE2023OCTOT!$F$2:$AQ$60,33,FALSE)</f>
        <v>45</v>
      </c>
      <c r="AZ41" s="117">
        <f>VLOOKUP(base!A41,PSYSAE2023OCTOT!$F$2:$AQ$60,34,FALSE)</f>
        <v>732</v>
      </c>
      <c r="BA41" s="117">
        <f>VLOOKUP(base!A41,PSYSAE2023OCTOT!$F$2:$AQ$60,35,FALSE)</f>
        <v>8331</v>
      </c>
      <c r="BB41" s="117">
        <f>VLOOKUP(base!A41,PSYSAE2023OCTOT!$F$2:$AQ$60,36,FALSE)</f>
        <v>976</v>
      </c>
      <c r="BC41" s="223">
        <f>PSYSAE2023OCTOT!AP38</f>
        <v>3539</v>
      </c>
      <c r="BD41" s="223">
        <f>PSYSAE2023OCTOT!AQ38</f>
        <v>3007</v>
      </c>
      <c r="BE41" s="268">
        <f t="shared" si="8"/>
        <v>532</v>
      </c>
      <c r="BF41" s="61">
        <f>H41/((I41+J41+K41+L41+M41+N41)+($BF$1*(AG41+AH41+AI41))+($BF$2*(AS41+AT41+AU41)))</f>
        <v>130951.07787065553</v>
      </c>
      <c r="BG41" s="124">
        <f>$BF$1*BF41</f>
        <v>117855.97008358999</v>
      </c>
      <c r="BH41" s="124">
        <f t="shared" si="9"/>
        <v>434470.56246949016</v>
      </c>
      <c r="BI41" s="116">
        <f t="shared" si="10"/>
        <v>1964562.1533728284</v>
      </c>
      <c r="BJ41" s="116">
        <f t="shared" si="11"/>
        <v>5042262.2841576822</v>
      </c>
      <c r="BK41" s="105">
        <f t="shared" si="12"/>
        <v>0.67760548186272451</v>
      </c>
      <c r="BL41" s="105">
        <f t="shared" si="13"/>
        <v>0.32239451813727549</v>
      </c>
      <c r="BM41" s="272">
        <f t="shared" si="14"/>
        <v>13987.396616541353</v>
      </c>
      <c r="BN41" s="116">
        <f t="shared" si="15"/>
        <v>6157.0816871108536</v>
      </c>
    </row>
    <row r="42" spans="1:66" x14ac:dyDescent="0.25">
      <c r="A42" s="76">
        <v>340780055</v>
      </c>
      <c r="B42" s="75" t="str">
        <f>VLOOKUP(base!A42,scansanté2024!$B$12:$L$69,2,FALSE)</f>
        <v>CH BEZIERS</v>
      </c>
      <c r="C42" s="75" t="str">
        <f>VLOOKUP(base!A42,dotpop24!$B$8:$U$67,3,FALSE)</f>
        <v>EPS</v>
      </c>
      <c r="D42" s="61">
        <f>VLOOKUP(base!A42,scansanté2024!$B$12:$L$69,4,FALSE)</f>
        <v>55752</v>
      </c>
      <c r="E42" s="118">
        <f>VLOOKUP(base!A42,scansanté2024!$B$12:$L$69,7,FALSE)</f>
        <v>1987</v>
      </c>
      <c r="F42" s="118">
        <f>VLOOKUP(base!A42,scansanté2024!$B$12:$L$69,8,FALSE)</f>
        <v>71980</v>
      </c>
      <c r="G42" s="118">
        <f>VLOOKUP(base!A42,scansanté2024!$B$12:$L$69,11,FALSE)</f>
        <v>9464</v>
      </c>
      <c r="H42" s="118">
        <f>VLOOKUP(base!A42,dotpop24!$B$8:$U$67,20,FALSE)</f>
        <v>23623961</v>
      </c>
      <c r="I42" s="117">
        <f>VLOOKUP(base!A42,PSYSAE2023OCTOT!$F$2:$AQ$60,7,FALSE)</f>
        <v>109</v>
      </c>
      <c r="J42" s="117">
        <f>VLOOKUP(base!A42,PSYSAE2023OCTOT!$F$2:$AQ$60,8,FALSE)</f>
        <v>7</v>
      </c>
      <c r="K42" s="117">
        <v>0</v>
      </c>
      <c r="L42" s="117">
        <v>0</v>
      </c>
      <c r="M42" s="117">
        <f>VLOOKUP(base!A42,PSYSAE2023OCTOT!$F$2:$AQ$60,11,FALSE)</f>
        <v>10</v>
      </c>
      <c r="N42" s="117">
        <f>VLOOKUP(base!A42,PSYSAE2023OCTOT!$F$2:$AQ$60,12,FALSE)</f>
        <v>12</v>
      </c>
      <c r="O42" s="117">
        <f>VLOOKUP(base!A42,PSYSAE2023OCTOT!$F$2:$AQ$60,18,FALSE)</f>
        <v>36884</v>
      </c>
      <c r="P42" s="117">
        <f>VLOOKUP(base!A42,PSYSAE2023OCTOT!$F$2:$AQ$60,19,FALSE)</f>
        <v>948</v>
      </c>
      <c r="Q42" s="117">
        <v>0</v>
      </c>
      <c r="R42" s="117">
        <v>0</v>
      </c>
      <c r="S42" s="117">
        <f>VLOOKUP(base!A42,PSYSAE2023OCTOT!$F$2:$AQ$60,22,FALSE)</f>
        <v>3063</v>
      </c>
      <c r="T42" s="117">
        <f>VLOOKUP(base!A42,PSYSAE2023OCTOT!$F$2:$AQ$60,23,FALSE)</f>
        <v>2731</v>
      </c>
      <c r="U42" s="114">
        <f t="shared" si="2"/>
        <v>0.92708307150936287</v>
      </c>
      <c r="V42" s="114">
        <f t="shared" si="3"/>
        <v>0.3710371819960861</v>
      </c>
      <c r="W42" s="114">
        <v>0</v>
      </c>
      <c r="X42" s="114">
        <v>0</v>
      </c>
      <c r="Y42" s="114">
        <f t="shared" si="4"/>
        <v>0.83917808219178081</v>
      </c>
      <c r="Z42" s="114">
        <f t="shared" si="4"/>
        <v>0.62351598173515976</v>
      </c>
      <c r="AA42" s="115">
        <f t="shared" si="5"/>
        <v>0</v>
      </c>
      <c r="AB42" s="115">
        <f t="shared" si="5"/>
        <v>3.7027397260273971</v>
      </c>
      <c r="AC42" s="115">
        <f t="shared" si="5"/>
        <v>0</v>
      </c>
      <c r="AD42" s="115">
        <f t="shared" si="5"/>
        <v>0</v>
      </c>
      <c r="AE42" s="115">
        <f t="shared" si="5"/>
        <v>0.60821917808219184</v>
      </c>
      <c r="AF42" s="115">
        <f t="shared" si="5"/>
        <v>3.3178082191780836</v>
      </c>
      <c r="AG42" s="61">
        <f>VLOOKUP(base!A42,PSYSAE2023OCTOT!$F$2:$AQ$60,14,FALSE)</f>
        <v>56</v>
      </c>
      <c r="AH42" s="61">
        <f>VLOOKUP(base!A42,PSYSAE2023OCTOT!$F$2:$AQ$60,15,FALSE)</f>
        <v>1</v>
      </c>
      <c r="AI42" s="61">
        <v>0</v>
      </c>
      <c r="AJ42" s="61">
        <f>VLOOKUP(base!A42,PSYSAE2023OCTOT!$F$2:$AQ$60,24,FALSE)</f>
        <v>3024</v>
      </c>
      <c r="AK42" s="61">
        <f>VLOOKUP(base!A42,PSYSAE2023OCTOT!$F$2:$AQ$60,25,FALSE)</f>
        <v>11</v>
      </c>
      <c r="AL42" s="61">
        <v>0</v>
      </c>
      <c r="AM42" s="105">
        <f t="shared" si="6"/>
        <v>0.14794520547945206</v>
      </c>
      <c r="AN42" s="105">
        <f t="shared" si="16"/>
        <v>3.0136986301369864E-2</v>
      </c>
      <c r="AO42" s="105">
        <v>0</v>
      </c>
      <c r="AP42" s="61">
        <f t="shared" si="7"/>
        <v>44.915068493150685</v>
      </c>
      <c r="AQ42" s="61">
        <f t="shared" si="7"/>
        <v>0.91986301369863011</v>
      </c>
      <c r="AR42" s="61">
        <f t="shared" si="7"/>
        <v>0</v>
      </c>
      <c r="AS42" s="117">
        <f>VLOOKUP(base!A42,PSYSAE2023OCTOT!$F$2:$AQ$60,27,FALSE)</f>
        <v>9</v>
      </c>
      <c r="AT42" s="117">
        <f>VLOOKUP(base!A42,PSYSAE2023OCTOT!$F$2:$AQ$60,28,FALSE)</f>
        <v>4</v>
      </c>
      <c r="AU42" s="117">
        <v>0</v>
      </c>
      <c r="AV42" s="117">
        <f>VLOOKUP(base!A42,PSYSAE2023OCTOT!$F$2:$AQ$60,30,FALSE)</f>
        <v>38499</v>
      </c>
      <c r="AW42" s="117">
        <f>VLOOKUP(base!A42,PSYSAE2023OCTOT!$F$2:$AQ$60,31,FALSE)</f>
        <v>1669</v>
      </c>
      <c r="AX42" s="117">
        <v>0</v>
      </c>
      <c r="AY42" s="117">
        <f>VLOOKUP(base!A42,PSYSAE2023OCTOT!$F$2:$AQ$60,33,FALSE)</f>
        <v>10770</v>
      </c>
      <c r="AZ42" s="117">
        <f>VLOOKUP(base!A42,PSYSAE2023OCTOT!$F$2:$AQ$60,34,FALSE)</f>
        <v>71</v>
      </c>
      <c r="BA42" s="117">
        <f>VLOOKUP(base!A42,PSYSAE2023OCTOT!$F$2:$AQ$60,35,FALSE)</f>
        <v>7484</v>
      </c>
      <c r="BB42" s="117">
        <f>VLOOKUP(base!A42,PSYSAE2023OCTOT!$F$2:$AQ$60,36,FALSE)</f>
        <v>4</v>
      </c>
      <c r="BC42" s="223">
        <f>PSYSAE2023OCTOT!AP39</f>
        <v>10002</v>
      </c>
      <c r="BD42" s="223">
        <f>PSYSAE2023OCTOT!AQ39</f>
        <v>8598</v>
      </c>
      <c r="BE42" s="268">
        <f t="shared" si="8"/>
        <v>1404</v>
      </c>
      <c r="BF42" s="61">
        <f>H42/((I42+J42+K42+L42+M42+N42)+($BF$1*(AG42+AH42+AI42))+($BF$2*(AS42+AT42+AU42)))</f>
        <v>122897.44310053322</v>
      </c>
      <c r="BG42" s="124">
        <f>$BF$1*BF42</f>
        <v>110607.6987904799</v>
      </c>
      <c r="BH42" s="124">
        <f t="shared" si="9"/>
        <v>937555.97346146533</v>
      </c>
      <c r="BI42" s="116">
        <f t="shared" si="10"/>
        <v>5069696.2981918659</v>
      </c>
      <c r="BJ42" s="116">
        <f t="shared" si="11"/>
        <v>17616708.728346668</v>
      </c>
      <c r="BK42" s="105">
        <f t="shared" si="12"/>
        <v>0.7457135883498397</v>
      </c>
      <c r="BL42" s="105">
        <f t="shared" si="13"/>
        <v>0.2542864116501603</v>
      </c>
      <c r="BM42" s="272">
        <f t="shared" si="14"/>
        <v>16826.183048433049</v>
      </c>
      <c r="BN42" s="116">
        <f t="shared" si="15"/>
        <v>7076.114181306255</v>
      </c>
    </row>
    <row r="43" spans="1:66" x14ac:dyDescent="0.25">
      <c r="A43" s="76">
        <v>340780121</v>
      </c>
      <c r="B43" s="75" t="str">
        <f>VLOOKUP(base!A43,scansanté2024!$B$12:$L$69,2,FALSE)</f>
        <v>CLINIQUE LA PERGOLA</v>
      </c>
      <c r="C43" s="75" t="str">
        <f>VLOOKUP(base!A43,dotpop24!$B$8:$U$67,3,FALSE)</f>
        <v>EBL</v>
      </c>
      <c r="D43" s="61">
        <f>VLOOKUP(base!A43,scansanté2024!$B$12:$L$69,4,FALSE)</f>
        <v>44977</v>
      </c>
      <c r="E43" s="118">
        <f>VLOOKUP(base!A43,scansanté2024!$B$12:$L$69,7,FALSE)</f>
        <v>1099</v>
      </c>
      <c r="F43" s="118">
        <f>VLOOKUP(base!A43,scansanté2024!$B$12:$L$69,8,FALSE)</f>
        <v>0</v>
      </c>
      <c r="G43" s="118">
        <f>VLOOKUP(base!A43,scansanté2024!$B$12:$L$69,11,FALSE)</f>
        <v>782</v>
      </c>
      <c r="H43" s="118">
        <f>VLOOKUP(base!A43,dotpop24!$B$8:$U$67,20,FALSE)</f>
        <v>803054</v>
      </c>
      <c r="I43" s="117">
        <f>VLOOKUP(base!A43,PSYSAE2023OCTOT!$F$2:$AQ$60,7,FALSE)</f>
        <v>95</v>
      </c>
      <c r="J43" s="117">
        <v>0</v>
      </c>
      <c r="K43" s="117">
        <v>0</v>
      </c>
      <c r="L43" s="117">
        <v>0</v>
      </c>
      <c r="M43" s="117">
        <v>0</v>
      </c>
      <c r="N43" s="117">
        <v>0</v>
      </c>
      <c r="O43" s="117">
        <f>VLOOKUP(base!A43,PSYSAE2023OCTOT!$F$2:$AQ$60,18,FALSE)</f>
        <v>40190</v>
      </c>
      <c r="P43" s="117">
        <v>0</v>
      </c>
      <c r="Q43" s="117">
        <v>0</v>
      </c>
      <c r="R43" s="117">
        <v>0</v>
      </c>
      <c r="S43" s="117">
        <v>0</v>
      </c>
      <c r="T43" s="117">
        <v>0</v>
      </c>
      <c r="U43" s="114">
        <f t="shared" si="2"/>
        <v>1.1590483056957461</v>
      </c>
      <c r="V43" s="114">
        <v>0</v>
      </c>
      <c r="W43" s="114">
        <v>0</v>
      </c>
      <c r="X43" s="114">
        <v>0</v>
      </c>
      <c r="Y43" s="114">
        <v>0</v>
      </c>
      <c r="Z43" s="114">
        <v>0</v>
      </c>
      <c r="AA43" s="115">
        <f t="shared" si="5"/>
        <v>0</v>
      </c>
      <c r="AB43" s="115">
        <f t="shared" si="5"/>
        <v>0</v>
      </c>
      <c r="AC43" s="115">
        <f t="shared" si="5"/>
        <v>0</v>
      </c>
      <c r="AD43" s="115">
        <f t="shared" si="5"/>
        <v>0</v>
      </c>
      <c r="AE43" s="115">
        <f t="shared" si="5"/>
        <v>0</v>
      </c>
      <c r="AF43" s="115">
        <f t="shared" si="5"/>
        <v>0</v>
      </c>
      <c r="AG43" s="61">
        <f>VLOOKUP(base!A43,PSYSAE2023OCTOT!$F$2:$AQ$60,14,FALSE)</f>
        <v>15</v>
      </c>
      <c r="AH43" s="61">
        <v>0</v>
      </c>
      <c r="AI43" s="61">
        <v>0</v>
      </c>
      <c r="AJ43" s="61">
        <f>VLOOKUP(base!A43,PSYSAE2023OCTOT!$F$2:$AQ$60,24,FALSE)</f>
        <v>6616</v>
      </c>
      <c r="AK43" s="61">
        <v>0</v>
      </c>
      <c r="AL43" s="61">
        <v>0</v>
      </c>
      <c r="AM43" s="105">
        <f t="shared" si="6"/>
        <v>1.2084018264840182</v>
      </c>
      <c r="AN43" s="105">
        <v>0</v>
      </c>
      <c r="AO43" s="105">
        <v>0</v>
      </c>
      <c r="AP43" s="61">
        <f t="shared" si="7"/>
        <v>0</v>
      </c>
      <c r="AQ43" s="61">
        <f t="shared" si="7"/>
        <v>0</v>
      </c>
      <c r="AR43" s="61">
        <f t="shared" si="7"/>
        <v>0</v>
      </c>
      <c r="AS43" s="117">
        <v>0</v>
      </c>
      <c r="AT43" s="117">
        <v>0</v>
      </c>
      <c r="AU43" s="117">
        <v>0</v>
      </c>
      <c r="AV43" s="117">
        <v>0</v>
      </c>
      <c r="AW43" s="117">
        <v>0</v>
      </c>
      <c r="AX43" s="117">
        <v>0</v>
      </c>
      <c r="AY43" s="117">
        <v>0</v>
      </c>
      <c r="AZ43" s="117">
        <v>0</v>
      </c>
      <c r="BA43" s="117">
        <v>0</v>
      </c>
      <c r="BB43" s="117">
        <v>0</v>
      </c>
      <c r="BC43" s="223">
        <f>PSYSAE2023OCTOT!AP40</f>
        <v>748</v>
      </c>
      <c r="BD43" s="223"/>
      <c r="BE43" s="268">
        <f t="shared" si="8"/>
        <v>748</v>
      </c>
      <c r="BF43" s="61">
        <f>H43/((I43+J43+K43+L43+M43+N43)+($BF$1*(AG43+AH43+AI43))+($BF$2*(AS43+AT43+AU43)))</f>
        <v>7401.4193548387093</v>
      </c>
      <c r="BG43" s="124">
        <f>$BF$1*BF43</f>
        <v>6661.2774193548385</v>
      </c>
      <c r="BH43" s="124">
        <f t="shared" si="9"/>
        <v>0</v>
      </c>
      <c r="BI43" s="116">
        <f t="shared" si="10"/>
        <v>0</v>
      </c>
      <c r="BJ43" s="116">
        <f t="shared" si="11"/>
        <v>803054</v>
      </c>
      <c r="BK43" s="105">
        <f t="shared" si="12"/>
        <v>1</v>
      </c>
      <c r="BL43" s="105">
        <f t="shared" si="13"/>
        <v>0</v>
      </c>
      <c r="BM43" s="272">
        <f t="shared" si="14"/>
        <v>1073.6016042780748</v>
      </c>
      <c r="BN43" s="116">
        <f t="shared" si="15"/>
        <v>1073.6016042780748</v>
      </c>
    </row>
    <row r="44" spans="1:66" x14ac:dyDescent="0.25">
      <c r="A44" s="76">
        <v>340780477</v>
      </c>
      <c r="B44" s="75" t="str">
        <f>VLOOKUP(base!A44,scansanté2024!$B$12:$L$69,2,FALSE)</f>
        <v>CHU MONTPELLIER</v>
      </c>
      <c r="C44" s="75" t="str">
        <f>VLOOKUP(base!A44,dotpop24!$B$8:$U$67,3,FALSE)</f>
        <v>EPS</v>
      </c>
      <c r="D44" s="61">
        <f>VLOOKUP(base!A44,scansanté2024!$B$12:$L$69,4,FALSE)</f>
        <v>106279</v>
      </c>
      <c r="E44" s="118">
        <f>VLOOKUP(base!A44,scansanté2024!$B$12:$L$69,7,FALSE)</f>
        <v>5633</v>
      </c>
      <c r="F44" s="118">
        <f>VLOOKUP(base!A44,scansanté2024!$B$12:$L$69,8,FALSE)</f>
        <v>266306</v>
      </c>
      <c r="G44" s="118">
        <f>VLOOKUP(base!A44,scansanté2024!$B$12:$L$69,11,FALSE)</f>
        <v>25446</v>
      </c>
      <c r="H44" s="118">
        <f>VLOOKUP(base!A44,dotpop24!$B$8:$U$67,20,FALSE)</f>
        <v>71361639</v>
      </c>
      <c r="I44" s="117">
        <f>VLOOKUP(base!A44,PSYSAE2023OCTOT!$F$2:$AQ$60,7,FALSE)</f>
        <v>208</v>
      </c>
      <c r="J44" s="117">
        <f>VLOOKUP(base!A44,PSYSAE2023OCTOT!$F$2:$AQ$60,8,FALSE)</f>
        <v>26</v>
      </c>
      <c r="K44" s="117">
        <f>VLOOKUP(base!A44,PSYSAE2023OCTOT!$F$2:$AQ$60,9,FALSE)</f>
        <v>7</v>
      </c>
      <c r="L44" s="117">
        <v>0</v>
      </c>
      <c r="M44" s="117">
        <v>0</v>
      </c>
      <c r="N44" s="117">
        <v>0</v>
      </c>
      <c r="O44" s="117">
        <f>VLOOKUP(base!A44,PSYSAE2023OCTOT!$F$2:$AQ$60,18,FALSE)</f>
        <v>72727</v>
      </c>
      <c r="P44" s="117">
        <f>VLOOKUP(base!A44,PSYSAE2023OCTOT!$F$2:$AQ$60,19,FALSE)</f>
        <v>653</v>
      </c>
      <c r="Q44" s="117">
        <f>VLOOKUP(base!A44,PSYSAE2023OCTOT!$F$2:$AQ$60,20,FALSE)</f>
        <v>1312</v>
      </c>
      <c r="R44" s="117">
        <v>0</v>
      </c>
      <c r="S44" s="117">
        <v>0</v>
      </c>
      <c r="T44" s="117">
        <v>0</v>
      </c>
      <c r="U44" s="114">
        <f t="shared" si="2"/>
        <v>0.95794257112750258</v>
      </c>
      <c r="V44" s="114">
        <f t="shared" si="3"/>
        <v>6.8809272918861963E-2</v>
      </c>
      <c r="W44" s="114">
        <f t="shared" si="4"/>
        <v>0.51350293542074366</v>
      </c>
      <c r="X44" s="114">
        <v>0</v>
      </c>
      <c r="Y44" s="114">
        <v>0</v>
      </c>
      <c r="Z44" s="114">
        <v>0</v>
      </c>
      <c r="AA44" s="115">
        <f t="shared" si="5"/>
        <v>0</v>
      </c>
      <c r="AB44" s="115">
        <f t="shared" si="5"/>
        <v>21.610958904109587</v>
      </c>
      <c r="AC44" s="115">
        <f t="shared" si="5"/>
        <v>2.7054794520547945</v>
      </c>
      <c r="AD44" s="115">
        <f t="shared" si="5"/>
        <v>0</v>
      </c>
      <c r="AE44" s="115">
        <f t="shared" si="5"/>
        <v>0</v>
      </c>
      <c r="AF44" s="115">
        <f t="shared" si="5"/>
        <v>0</v>
      </c>
      <c r="AG44" s="61">
        <f>VLOOKUP(base!A44,PSYSAE2023OCTOT!$F$2:$AQ$60,14,FALSE)</f>
        <v>193</v>
      </c>
      <c r="AH44" s="61">
        <v>0</v>
      </c>
      <c r="AI44" s="61">
        <v>0</v>
      </c>
      <c r="AJ44" s="61">
        <f>VLOOKUP(base!A44,PSYSAE2023OCTOT!$F$2:$AQ$60,24,FALSE)</f>
        <v>36006</v>
      </c>
      <c r="AK44" s="61">
        <v>0</v>
      </c>
      <c r="AL44" s="61">
        <v>0</v>
      </c>
      <c r="AM44" s="105">
        <f t="shared" si="6"/>
        <v>0.51112215203350131</v>
      </c>
      <c r="AN44" s="105">
        <v>0</v>
      </c>
      <c r="AO44" s="105">
        <v>0</v>
      </c>
      <c r="AP44" s="61">
        <f t="shared" si="7"/>
        <v>84.703424657534242</v>
      </c>
      <c r="AQ44" s="61">
        <f t="shared" si="7"/>
        <v>0</v>
      </c>
      <c r="AR44" s="61">
        <f t="shared" si="7"/>
        <v>0</v>
      </c>
      <c r="AS44" s="117">
        <f>VLOOKUP(base!A44,PSYSAE2023OCTOT!$F$2:$AQ$60,27,FALSE)</f>
        <v>11</v>
      </c>
      <c r="AT44" s="117">
        <f>VLOOKUP(base!A44,PSYSAE2023OCTOT!$F$2:$AQ$60,28,FALSE)</f>
        <v>20</v>
      </c>
      <c r="AU44" s="117">
        <f>VLOOKUP(base!A44,PSYSAE2023OCTOT!$F$2:$AQ$60,29,FALSE)</f>
        <v>14</v>
      </c>
      <c r="AV44" s="117">
        <f>VLOOKUP(base!A44,PSYSAE2023OCTOT!$F$2:$AQ$60,30,FALSE)</f>
        <v>53115</v>
      </c>
      <c r="AW44" s="117">
        <f>VLOOKUP(base!A44,PSYSAE2023OCTOT!$F$2:$AQ$60,31,FALSE)</f>
        <v>89478</v>
      </c>
      <c r="AX44" s="117">
        <f>VLOOKUP(base!A44,PSYSAE2023OCTOT!$F$2:$AQ$60,32,FALSE)</f>
        <v>36262</v>
      </c>
      <c r="AY44" s="117">
        <f>VLOOKUP(base!A44,PSYSAE2023OCTOT!$F$2:$AQ$60,33,FALSE)</f>
        <v>26460</v>
      </c>
      <c r="AZ44" s="117">
        <f>VLOOKUP(base!A44,PSYSAE2023OCTOT!$F$2:$AQ$60,34,FALSE)</f>
        <v>6454</v>
      </c>
      <c r="BA44" s="117">
        <f>VLOOKUP(base!A44,PSYSAE2023OCTOT!$F$2:$AQ$60,35,FALSE)</f>
        <v>4518</v>
      </c>
      <c r="BB44" s="117">
        <f>VLOOKUP(base!A44,PSYSAE2023OCTOT!$F$2:$AQ$60,36,FALSE)</f>
        <v>241</v>
      </c>
      <c r="BC44" s="223">
        <f>PSYSAE2023OCTOT!AP41</f>
        <v>22963</v>
      </c>
      <c r="BD44" s="223">
        <f>PSYSAE2023OCTOT!AQ41</f>
        <v>18617</v>
      </c>
      <c r="BE44" s="268">
        <f t="shared" si="8"/>
        <v>4346</v>
      </c>
      <c r="BF44" s="61">
        <f>H44/((I44+J44+K44+L44+M44+N44)+($BF$1*(AG44+AH44+AI44))+($BF$2*(AS44+AT44+AU44)))</f>
        <v>167978.90660860352</v>
      </c>
      <c r="BG44" s="124">
        <f>$BF$1*BF44</f>
        <v>151181.01594774317</v>
      </c>
      <c r="BH44" s="124">
        <f t="shared" si="9"/>
        <v>4084648.7276840014</v>
      </c>
      <c r="BI44" s="116">
        <f t="shared" si="10"/>
        <v>12805549.793979147</v>
      </c>
      <c r="BJ44" s="116">
        <f t="shared" si="11"/>
        <v>54471440.478336848</v>
      </c>
      <c r="BK44" s="105">
        <f t="shared" si="12"/>
        <v>0.7633154344778551</v>
      </c>
      <c r="BL44" s="105">
        <f t="shared" si="13"/>
        <v>0.2366845655221449</v>
      </c>
      <c r="BM44" s="272">
        <f t="shared" si="14"/>
        <v>16420.073400828347</v>
      </c>
      <c r="BN44" s="116">
        <f t="shared" si="15"/>
        <v>8361.2304880299234</v>
      </c>
    </row>
    <row r="45" spans="1:66" x14ac:dyDescent="0.25">
      <c r="A45" s="76">
        <v>340780758</v>
      </c>
      <c r="B45" s="75" t="str">
        <f>VLOOKUP(base!A45,scansanté2024!$B$12:$L$69,2,FALSE)</f>
        <v>CLINIQUE RECH</v>
      </c>
      <c r="C45" s="75" t="str">
        <f>VLOOKUP(base!A45,dotpop24!$B$8:$U$67,3,FALSE)</f>
        <v>EBL</v>
      </c>
      <c r="D45" s="61">
        <f>VLOOKUP(base!A45,scansanté2024!$B$12:$L$69,4,FALSE)</f>
        <v>68095</v>
      </c>
      <c r="E45" s="118">
        <f>VLOOKUP(base!A45,scansanté2024!$B$12:$L$69,7,FALSE)</f>
        <v>1260</v>
      </c>
      <c r="F45" s="118">
        <f>VLOOKUP(base!A45,scansanté2024!$B$12:$L$69,8,FALSE)</f>
        <v>0</v>
      </c>
      <c r="G45" s="118">
        <f>VLOOKUP(base!A45,scansanté2024!$B$12:$L$69,11,FALSE)</f>
        <v>735</v>
      </c>
      <c r="H45" s="118">
        <f>VLOOKUP(base!A45,dotpop24!$B$8:$U$67,20,FALSE)</f>
        <v>1494202</v>
      </c>
      <c r="I45" s="117">
        <f>VLOOKUP(base!A45,PSYSAE2023OCTOT!$F$2:$AQ$60,7,FALSE)</f>
        <v>168</v>
      </c>
      <c r="J45" s="117">
        <v>0</v>
      </c>
      <c r="K45" s="117">
        <v>0</v>
      </c>
      <c r="L45" s="117">
        <f>VLOOKUP(base!A45,PSYSAE2023OCTOT!$F$2:$AQ$60,10,FALSE)</f>
        <v>48</v>
      </c>
      <c r="M45" s="117">
        <v>0</v>
      </c>
      <c r="N45" s="117">
        <v>0</v>
      </c>
      <c r="O45" s="117">
        <f>VLOOKUP(base!A45,PSYSAE2023OCTOT!$F$2:$AQ$60,18,FALSE)</f>
        <v>52452</v>
      </c>
      <c r="P45" s="117">
        <v>0</v>
      </c>
      <c r="Q45" s="117">
        <v>0</v>
      </c>
      <c r="R45" s="117">
        <f>VLOOKUP(base!A45,PSYSAE2023OCTOT!$F$2:$AQ$60,21,FALSE)</f>
        <v>14744</v>
      </c>
      <c r="S45" s="117">
        <v>0</v>
      </c>
      <c r="T45" s="117">
        <v>0</v>
      </c>
      <c r="U45" s="114">
        <f t="shared" si="2"/>
        <v>0.85538160469667324</v>
      </c>
      <c r="V45" s="114">
        <v>0</v>
      </c>
      <c r="W45" s="114">
        <v>0</v>
      </c>
      <c r="X45" s="114">
        <f t="shared" si="4"/>
        <v>0.84155251141552512</v>
      </c>
      <c r="Y45" s="114">
        <v>0</v>
      </c>
      <c r="Z45" s="114">
        <v>0</v>
      </c>
      <c r="AA45" s="115">
        <f t="shared" si="5"/>
        <v>7.4958904109589044</v>
      </c>
      <c r="AB45" s="115">
        <f t="shared" si="5"/>
        <v>0</v>
      </c>
      <c r="AC45" s="115">
        <f t="shared" si="5"/>
        <v>0</v>
      </c>
      <c r="AD45" s="115">
        <f t="shared" si="5"/>
        <v>2.8054794520547945</v>
      </c>
      <c r="AE45" s="115">
        <f t="shared" si="5"/>
        <v>0</v>
      </c>
      <c r="AF45" s="115">
        <f t="shared" si="5"/>
        <v>0</v>
      </c>
      <c r="AG45" s="61">
        <f>VLOOKUP(base!A45,PSYSAE2023OCTOT!$F$2:$AQ$60,14,FALSE)</f>
        <v>14</v>
      </c>
      <c r="AH45" s="61">
        <v>0</v>
      </c>
      <c r="AI45" s="61">
        <v>0</v>
      </c>
      <c r="AJ45" s="61">
        <f>VLOOKUP(base!A45,PSYSAE2023OCTOT!$F$2:$AQ$60,24,FALSE)</f>
        <v>5071</v>
      </c>
      <c r="AK45" s="61">
        <v>0</v>
      </c>
      <c r="AL45" s="61">
        <v>0</v>
      </c>
      <c r="AM45" s="105">
        <f t="shared" si="6"/>
        <v>0.99236790606653624</v>
      </c>
      <c r="AN45" s="105">
        <v>0</v>
      </c>
      <c r="AO45" s="105">
        <v>0</v>
      </c>
      <c r="AP45" s="61">
        <f t="shared" si="7"/>
        <v>0</v>
      </c>
      <c r="AQ45" s="61">
        <f t="shared" si="7"/>
        <v>0</v>
      </c>
      <c r="AR45" s="61">
        <f t="shared" si="7"/>
        <v>0</v>
      </c>
      <c r="AS45" s="117">
        <v>0</v>
      </c>
      <c r="AT45" s="117">
        <v>0</v>
      </c>
      <c r="AU45" s="117">
        <v>0</v>
      </c>
      <c r="AV45" s="117">
        <v>0</v>
      </c>
      <c r="AW45" s="117">
        <v>0</v>
      </c>
      <c r="AX45" s="117">
        <v>0</v>
      </c>
      <c r="AY45" s="117">
        <v>0</v>
      </c>
      <c r="AZ45" s="117">
        <v>0</v>
      </c>
      <c r="BA45" s="117">
        <v>0</v>
      </c>
      <c r="BB45" s="117">
        <v>0</v>
      </c>
      <c r="BC45" s="223">
        <f>PSYSAE2023OCTOT!AP42</f>
        <v>840</v>
      </c>
      <c r="BD45" s="223"/>
      <c r="BE45" s="268">
        <f t="shared" si="8"/>
        <v>840</v>
      </c>
      <c r="BF45" s="61">
        <f>H45/((I45+J45+K45+L45+M45+N45)+($BF$1*(AG45+AH45+AI45))+($BF$2*(AS45+AT45+AU45)))</f>
        <v>6536.316710411199</v>
      </c>
      <c r="BG45" s="124">
        <f>$BF$1*BF45</f>
        <v>5882.6850393700788</v>
      </c>
      <c r="BH45" s="124">
        <f t="shared" si="9"/>
        <v>67333.015975742761</v>
      </c>
      <c r="BI45" s="116">
        <f t="shared" si="10"/>
        <v>0</v>
      </c>
      <c r="BJ45" s="116">
        <f t="shared" si="11"/>
        <v>1426868.9840242572</v>
      </c>
      <c r="BK45" s="105">
        <f t="shared" si="12"/>
        <v>0.95493713970685168</v>
      </c>
      <c r="BL45" s="105">
        <f t="shared" si="13"/>
        <v>4.5062860293148321E-2</v>
      </c>
      <c r="BM45" s="272">
        <f t="shared" si="14"/>
        <v>1778.8119047619048</v>
      </c>
      <c r="BN45" s="116">
        <f t="shared" si="15"/>
        <v>1778.8119047619048</v>
      </c>
    </row>
    <row r="46" spans="1:66" x14ac:dyDescent="0.25">
      <c r="A46" s="76">
        <v>340780766</v>
      </c>
      <c r="B46" s="75" t="str">
        <f>VLOOKUP(base!A46,scansanté2024!$B$12:$L$69,2,FALSE)</f>
        <v>CLINIQUE LA LIRONDE</v>
      </c>
      <c r="C46" s="75" t="str">
        <f>VLOOKUP(base!A46,dotpop24!$B$8:$U$67,3,FALSE)</f>
        <v>EBL</v>
      </c>
      <c r="D46" s="61">
        <f>VLOOKUP(base!A46,scansanté2024!$B$12:$L$69,4,FALSE)</f>
        <v>40585</v>
      </c>
      <c r="E46" s="118">
        <f>VLOOKUP(base!A46,scansanté2024!$B$12:$L$69,7,FALSE)</f>
        <v>1013</v>
      </c>
      <c r="F46" s="118">
        <f>VLOOKUP(base!A46,scansanté2024!$B$12:$L$69,8,FALSE)</f>
        <v>0</v>
      </c>
      <c r="G46" s="118">
        <f>VLOOKUP(base!A46,scansanté2024!$B$12:$L$69,11,FALSE)</f>
        <v>727</v>
      </c>
      <c r="H46" s="118">
        <f>VLOOKUP(base!A46,dotpop24!$B$8:$U$67,20,FALSE)</f>
        <v>800257</v>
      </c>
      <c r="I46" s="117">
        <f>VLOOKUP(base!A46,PSYSAE2023OCTOT!$F$2:$AQ$60,7,FALSE)</f>
        <v>121</v>
      </c>
      <c r="J46" s="117">
        <v>0</v>
      </c>
      <c r="K46" s="117">
        <v>0</v>
      </c>
      <c r="L46" s="117">
        <v>0</v>
      </c>
      <c r="M46" s="117">
        <v>0</v>
      </c>
      <c r="N46" s="117">
        <v>0</v>
      </c>
      <c r="O46" s="117">
        <f>VLOOKUP(base!A46,PSYSAE2023OCTOT!$F$2:$AQ$60,18,FALSE)</f>
        <v>41266</v>
      </c>
      <c r="P46" s="117">
        <v>0</v>
      </c>
      <c r="Q46" s="117">
        <v>0</v>
      </c>
      <c r="R46" s="117">
        <v>0</v>
      </c>
      <c r="S46" s="117">
        <v>0</v>
      </c>
      <c r="T46" s="117">
        <v>0</v>
      </c>
      <c r="U46" s="114">
        <f t="shared" si="2"/>
        <v>0.9343597871617797</v>
      </c>
      <c r="V46" s="114">
        <v>0</v>
      </c>
      <c r="W46" s="114">
        <v>0</v>
      </c>
      <c r="X46" s="114">
        <v>0</v>
      </c>
      <c r="Y46" s="114">
        <v>0</v>
      </c>
      <c r="Z46" s="114">
        <v>0</v>
      </c>
      <c r="AA46" s="115">
        <f t="shared" si="5"/>
        <v>0</v>
      </c>
      <c r="AB46" s="115">
        <f t="shared" si="5"/>
        <v>0</v>
      </c>
      <c r="AC46" s="115">
        <f t="shared" si="5"/>
        <v>0</v>
      </c>
      <c r="AD46" s="115">
        <f t="shared" si="5"/>
        <v>0</v>
      </c>
      <c r="AE46" s="115">
        <f t="shared" si="5"/>
        <v>0</v>
      </c>
      <c r="AF46" s="115">
        <f t="shared" ref="AF46:AF64" si="19">IFERROR(MAX(0, ((N46*365*$AA$1 - N46*365*Z46) / 365)), 0)</f>
        <v>0</v>
      </c>
      <c r="AG46" s="61">
        <v>0</v>
      </c>
      <c r="AH46" s="61">
        <v>0</v>
      </c>
      <c r="AI46" s="61">
        <v>0</v>
      </c>
      <c r="AJ46" s="61">
        <v>0</v>
      </c>
      <c r="AK46" s="61">
        <v>0</v>
      </c>
      <c r="AL46" s="61">
        <v>0</v>
      </c>
      <c r="AM46" s="105">
        <v>0</v>
      </c>
      <c r="AN46" s="105">
        <v>0</v>
      </c>
      <c r="AO46" s="105">
        <v>0</v>
      </c>
      <c r="AP46" s="61">
        <f t="shared" si="7"/>
        <v>0</v>
      </c>
      <c r="AQ46" s="61">
        <f t="shared" si="7"/>
        <v>0</v>
      </c>
      <c r="AR46" s="61">
        <f t="shared" si="7"/>
        <v>0</v>
      </c>
      <c r="AS46" s="117">
        <v>0</v>
      </c>
      <c r="AT46" s="117">
        <v>0</v>
      </c>
      <c r="AU46" s="117">
        <v>0</v>
      </c>
      <c r="AV46" s="117">
        <v>0</v>
      </c>
      <c r="AW46" s="117">
        <v>0</v>
      </c>
      <c r="AX46" s="117">
        <v>0</v>
      </c>
      <c r="AY46" s="117">
        <v>0</v>
      </c>
      <c r="AZ46" s="117">
        <v>0</v>
      </c>
      <c r="BA46" s="117">
        <v>0</v>
      </c>
      <c r="BB46" s="117">
        <v>0</v>
      </c>
      <c r="BC46" s="223">
        <f>PSYSAE2023OCTOT!AP43</f>
        <v>755</v>
      </c>
      <c r="BD46" s="223"/>
      <c r="BE46" s="268">
        <f t="shared" si="8"/>
        <v>755</v>
      </c>
      <c r="BF46" s="61">
        <f>H46/((I46+J46+K46+L46+M46+N46)+($BF$1*(AG46+AH46+AI46))+($BF$2*(AS46+AT46+AU46)))</f>
        <v>6613.6942148760327</v>
      </c>
      <c r="BG46" s="124">
        <f>$BF$1*BF46</f>
        <v>5952.3247933884295</v>
      </c>
      <c r="BH46" s="124">
        <f t="shared" si="9"/>
        <v>0</v>
      </c>
      <c r="BI46" s="116">
        <f t="shared" si="10"/>
        <v>0</v>
      </c>
      <c r="BJ46" s="116">
        <f t="shared" si="11"/>
        <v>800257</v>
      </c>
      <c r="BK46" s="105">
        <f t="shared" si="12"/>
        <v>1</v>
      </c>
      <c r="BL46" s="105">
        <f t="shared" si="13"/>
        <v>0</v>
      </c>
      <c r="BM46" s="272">
        <f t="shared" si="14"/>
        <v>1059.9430463576159</v>
      </c>
      <c r="BN46" s="116">
        <f t="shared" si="15"/>
        <v>1059.9430463576159</v>
      </c>
    </row>
    <row r="47" spans="1:66" x14ac:dyDescent="0.25">
      <c r="A47" s="76">
        <v>340780782</v>
      </c>
      <c r="B47" s="75" t="str">
        <f>VLOOKUP(base!A47,scansanté2024!$B$12:$L$69,2,FALSE)</f>
        <v>CLINIQUE STELLA</v>
      </c>
      <c r="C47" s="75" t="str">
        <f>VLOOKUP(base!A47,dotpop24!$B$8:$U$67,3,FALSE)</f>
        <v>EBL</v>
      </c>
      <c r="D47" s="61">
        <f>VLOOKUP(base!A47,scansanté2024!$B$12:$L$69,4,FALSE)</f>
        <v>53006</v>
      </c>
      <c r="E47" s="118">
        <f>VLOOKUP(base!A47,scansanté2024!$B$12:$L$69,7,FALSE)</f>
        <v>1131</v>
      </c>
      <c r="F47" s="118">
        <f>VLOOKUP(base!A47,scansanté2024!$B$12:$L$69,8,FALSE)</f>
        <v>0</v>
      </c>
      <c r="G47" s="118">
        <f>VLOOKUP(base!A47,scansanté2024!$B$12:$L$69,11,FALSE)</f>
        <v>766</v>
      </c>
      <c r="H47" s="118">
        <f>VLOOKUP(base!A47,dotpop24!$B$8:$U$67,20,FALSE)</f>
        <v>1370503</v>
      </c>
      <c r="I47" s="117">
        <f>VLOOKUP(base!A47,PSYSAE2023OCTOT!$F$2:$AQ$60,7,FALSE)</f>
        <v>168</v>
      </c>
      <c r="J47" s="117">
        <v>0</v>
      </c>
      <c r="K47" s="117">
        <v>0</v>
      </c>
      <c r="L47" s="117">
        <v>0</v>
      </c>
      <c r="M47" s="117">
        <v>0</v>
      </c>
      <c r="N47" s="117">
        <v>0</v>
      </c>
      <c r="O47" s="117">
        <f>VLOOKUP(base!A47,PSYSAE2023OCTOT!$F$2:$AQ$60,18,FALSE)</f>
        <v>56817</v>
      </c>
      <c r="P47" s="117">
        <v>0</v>
      </c>
      <c r="Q47" s="117">
        <v>0</v>
      </c>
      <c r="R47" s="117">
        <v>0</v>
      </c>
      <c r="S47" s="117">
        <v>0</v>
      </c>
      <c r="T47" s="117">
        <v>0</v>
      </c>
      <c r="U47" s="114">
        <f t="shared" si="2"/>
        <v>0.92656555772994131</v>
      </c>
      <c r="V47" s="114">
        <v>0</v>
      </c>
      <c r="W47" s="114">
        <v>0</v>
      </c>
      <c r="X47" s="114">
        <v>0</v>
      </c>
      <c r="Y47" s="114">
        <v>0</v>
      </c>
      <c r="Z47" s="114">
        <v>0</v>
      </c>
      <c r="AA47" s="115">
        <f t="shared" si="5"/>
        <v>0</v>
      </c>
      <c r="AB47" s="115">
        <f t="shared" si="5"/>
        <v>0</v>
      </c>
      <c r="AC47" s="115">
        <f t="shared" si="5"/>
        <v>0</v>
      </c>
      <c r="AD47" s="115">
        <f t="shared" si="5"/>
        <v>0</v>
      </c>
      <c r="AE47" s="115">
        <f t="shared" si="5"/>
        <v>0</v>
      </c>
      <c r="AF47" s="115">
        <f t="shared" si="19"/>
        <v>0</v>
      </c>
      <c r="AG47" s="61">
        <v>0</v>
      </c>
      <c r="AH47" s="61">
        <v>0</v>
      </c>
      <c r="AI47" s="61">
        <v>0</v>
      </c>
      <c r="AJ47" s="61">
        <v>0</v>
      </c>
      <c r="AK47" s="61">
        <v>0</v>
      </c>
      <c r="AL47" s="61">
        <v>0</v>
      </c>
      <c r="AM47" s="105">
        <v>0</v>
      </c>
      <c r="AN47" s="105">
        <v>0</v>
      </c>
      <c r="AO47" s="105">
        <v>0</v>
      </c>
      <c r="AP47" s="61">
        <f t="shared" si="7"/>
        <v>0</v>
      </c>
      <c r="AQ47" s="61">
        <f t="shared" si="7"/>
        <v>0</v>
      </c>
      <c r="AR47" s="61">
        <f t="shared" si="7"/>
        <v>0</v>
      </c>
      <c r="AS47" s="117">
        <v>0</v>
      </c>
      <c r="AT47" s="117">
        <v>0</v>
      </c>
      <c r="AU47" s="117">
        <v>0</v>
      </c>
      <c r="AV47" s="117">
        <v>0</v>
      </c>
      <c r="AW47" s="117">
        <v>0</v>
      </c>
      <c r="AX47" s="117">
        <v>0</v>
      </c>
      <c r="AY47" s="117">
        <v>0</v>
      </c>
      <c r="AZ47" s="117">
        <v>0</v>
      </c>
      <c r="BA47" s="117">
        <v>0</v>
      </c>
      <c r="BB47" s="117">
        <v>0</v>
      </c>
      <c r="BC47" s="223">
        <f>PSYSAE2023OCTOT!AP44</f>
        <v>743</v>
      </c>
      <c r="BD47" s="223"/>
      <c r="BE47" s="268">
        <f t="shared" si="8"/>
        <v>743</v>
      </c>
      <c r="BF47" s="61">
        <f>H47/((I47+J47+K47+L47+M47+N47)+($BF$1*(AG47+AH47+AI47))+($BF$2*(AS47+AT47+AU47)))</f>
        <v>8157.7559523809523</v>
      </c>
      <c r="BG47" s="124">
        <f>$BF$1*BF47</f>
        <v>7341.9803571428574</v>
      </c>
      <c r="BH47" s="124">
        <f t="shared" si="9"/>
        <v>0</v>
      </c>
      <c r="BI47" s="116">
        <f t="shared" si="10"/>
        <v>0</v>
      </c>
      <c r="BJ47" s="116">
        <f t="shared" si="11"/>
        <v>1370503</v>
      </c>
      <c r="BK47" s="105">
        <f t="shared" si="12"/>
        <v>1</v>
      </c>
      <c r="BL47" s="105">
        <f t="shared" si="13"/>
        <v>0</v>
      </c>
      <c r="BM47" s="272">
        <f t="shared" si="14"/>
        <v>1844.5531628532974</v>
      </c>
      <c r="BN47" s="116">
        <f t="shared" si="15"/>
        <v>1844.5531628532974</v>
      </c>
    </row>
    <row r="48" spans="1:66" x14ac:dyDescent="0.25">
      <c r="A48" s="76">
        <v>340780790</v>
      </c>
      <c r="B48" s="75" t="str">
        <f>VLOOKUP(base!A48,scansanté2024!$B$12:$L$69,2,FALSE)</f>
        <v>CLINIQUE SAINT ANTOINE</v>
      </c>
      <c r="C48" s="75" t="str">
        <f>VLOOKUP(base!A48,dotpop24!$B$8:$U$67,3,FALSE)</f>
        <v>EBL</v>
      </c>
      <c r="D48" s="61">
        <f>VLOOKUP(base!A48,scansanté2024!$B$12:$L$69,4,FALSE)</f>
        <v>27363</v>
      </c>
      <c r="E48" s="118">
        <f>VLOOKUP(base!A48,scansanté2024!$B$12:$L$69,7,FALSE)</f>
        <v>565</v>
      </c>
      <c r="F48" s="118">
        <f>VLOOKUP(base!A48,scansanté2024!$B$12:$L$69,8,FALSE)</f>
        <v>0</v>
      </c>
      <c r="G48" s="118">
        <f>VLOOKUP(base!A48,scansanté2024!$B$12:$L$69,11,FALSE)</f>
        <v>476</v>
      </c>
      <c r="H48" s="118">
        <f>VLOOKUP(base!A48,dotpop24!$B$8:$U$67,20,FALSE)</f>
        <v>553670</v>
      </c>
      <c r="I48" s="117">
        <f>VLOOKUP(base!A48,PSYSAE2023OCTOT!$F$2:$AQ$60,7,FALSE)</f>
        <v>75</v>
      </c>
      <c r="J48" s="117">
        <f>VLOOKUP(base!A48,PSYSAE2023OCTOT!$F$2:$AQ$60,8,FALSE)</f>
        <v>0</v>
      </c>
      <c r="K48" s="117">
        <f>VLOOKUP(base!A48,PSYSAE2023OCTOT!$F$2:$AQ$60,9,FALSE)</f>
        <v>0</v>
      </c>
      <c r="L48" s="117">
        <f>VLOOKUP(base!A48,PSYSAE2023OCTOT!$F$2:$AQ$60,10,FALSE)</f>
        <v>0</v>
      </c>
      <c r="M48" s="117">
        <f>VLOOKUP(base!A48,PSYSAE2023OCTOT!$F$2:$AQ$60,11,FALSE)</f>
        <v>8</v>
      </c>
      <c r="N48" s="117">
        <f>VLOOKUP(base!A48,PSYSAE2023OCTOT!$F$2:$AQ$60,12,FALSE)</f>
        <v>0</v>
      </c>
      <c r="O48" s="117">
        <f>VLOOKUP(base!A48,PSYSAE2023OCTOT!$F$2:$AQ$60,18,FALSE)</f>
        <v>26546</v>
      </c>
      <c r="P48" s="117">
        <f>VLOOKUP(base!A48,PSYSAE2023OCTOT!$F$2:$AQ$60,19,FALSE)</f>
        <v>0</v>
      </c>
      <c r="Q48" s="117">
        <f>VLOOKUP(base!A48,PSYSAE2023OCTOT!$F$2:$AQ$60,20,FALSE)</f>
        <v>0</v>
      </c>
      <c r="R48" s="117">
        <f>VLOOKUP(base!A48,PSYSAE2023OCTOT!$F$2:$AQ$60,21,FALSE)</f>
        <v>0</v>
      </c>
      <c r="S48" s="117">
        <f>VLOOKUP(base!A48,PSYSAE2023OCTOT!$F$2:$AQ$60,22,FALSE)</f>
        <v>6310</v>
      </c>
      <c r="T48" s="117">
        <f>VLOOKUP(base!A48,PSYSAE2023OCTOT!$F$2:$AQ$60,23,FALSE)</f>
        <v>0</v>
      </c>
      <c r="U48" s="114">
        <f t="shared" si="2"/>
        <v>0.96971689497716895</v>
      </c>
      <c r="V48" s="114">
        <v>0</v>
      </c>
      <c r="W48" s="114">
        <v>0</v>
      </c>
      <c r="X48" s="114">
        <v>0</v>
      </c>
      <c r="Y48" s="114">
        <f t="shared" si="4"/>
        <v>2.1609589041095889</v>
      </c>
      <c r="Z48" s="114">
        <v>0</v>
      </c>
      <c r="AA48" s="115">
        <f t="shared" si="5"/>
        <v>0</v>
      </c>
      <c r="AB48" s="115">
        <f t="shared" si="5"/>
        <v>0</v>
      </c>
      <c r="AC48" s="115">
        <f t="shared" si="5"/>
        <v>0</v>
      </c>
      <c r="AD48" s="115">
        <f t="shared" si="5"/>
        <v>0</v>
      </c>
      <c r="AE48" s="115">
        <f t="shared" si="5"/>
        <v>0</v>
      </c>
      <c r="AF48" s="115">
        <f t="shared" si="19"/>
        <v>0</v>
      </c>
      <c r="AG48" s="61">
        <f>VLOOKUP(base!A48,PSYSAE2023OCTOT!$F$2:$AQ$60,14,FALSE)</f>
        <v>0</v>
      </c>
      <c r="AH48" s="61">
        <f>VLOOKUP(base!A48,PSYSAE2023OCTOT!$F$2:$AQ$60,15,FALSE)</f>
        <v>0</v>
      </c>
      <c r="AI48" s="61">
        <f>VLOOKUP(base!A48,PSYSAE2023OCTOT!$F$2:$AQ$60,16,FALSE)</f>
        <v>0</v>
      </c>
      <c r="AJ48" s="61">
        <f>VLOOKUP(base!A48,PSYSAE2023OCTOT!$F$2:$AQ$60,24,FALSE)</f>
        <v>0</v>
      </c>
      <c r="AK48" s="61">
        <f>VLOOKUP(base!A48,PSYSAE2023OCTOT!$F$2:$AQ$60,25,FALSE)</f>
        <v>0</v>
      </c>
      <c r="AL48" s="61">
        <f>VLOOKUP(base!A48,PSYSAE2023OCTOT!$F$2:$AQ$60,26,FALSE)</f>
        <v>0</v>
      </c>
      <c r="AM48" s="105">
        <v>0</v>
      </c>
      <c r="AN48" s="105">
        <v>0</v>
      </c>
      <c r="AO48" s="105">
        <v>0</v>
      </c>
      <c r="AP48" s="61">
        <f t="shared" si="7"/>
        <v>0</v>
      </c>
      <c r="AQ48" s="61">
        <f t="shared" si="7"/>
        <v>0</v>
      </c>
      <c r="AR48" s="61">
        <f t="shared" si="7"/>
        <v>0</v>
      </c>
      <c r="AS48" s="117">
        <f>VLOOKUP(base!A48,PSYSAE2023OCTOT!$F$2:$AQ$60,27,FALSE)</f>
        <v>0</v>
      </c>
      <c r="AT48" s="117">
        <v>0</v>
      </c>
      <c r="AU48" s="117">
        <v>0</v>
      </c>
      <c r="AV48" s="117">
        <v>0</v>
      </c>
      <c r="AW48" s="117">
        <v>0</v>
      </c>
      <c r="AX48" s="117">
        <v>0</v>
      </c>
      <c r="AY48" s="117">
        <v>0</v>
      </c>
      <c r="AZ48" s="117">
        <v>0</v>
      </c>
      <c r="BA48" s="117">
        <v>0</v>
      </c>
      <c r="BB48" s="117">
        <v>0</v>
      </c>
      <c r="BC48" s="223">
        <f>PSYSAE2023OCTOT!AP45</f>
        <v>451</v>
      </c>
      <c r="BD48" s="223"/>
      <c r="BE48" s="268">
        <f t="shared" si="8"/>
        <v>451</v>
      </c>
      <c r="BF48" s="61">
        <f>H48/((I48+J48+K48+L48+M48+N48)+($BF$1*(AG48+AH48+AI48))+($BF$2*(AS48+AT48+AU48)))</f>
        <v>6670.7228915662654</v>
      </c>
      <c r="BG48" s="124">
        <f>$BF$1*BF48</f>
        <v>6003.6506024096389</v>
      </c>
      <c r="BH48" s="124">
        <f t="shared" si="9"/>
        <v>0</v>
      </c>
      <c r="BI48" s="116">
        <f t="shared" si="10"/>
        <v>0</v>
      </c>
      <c r="BJ48" s="116">
        <f t="shared" si="11"/>
        <v>553670</v>
      </c>
      <c r="BK48" s="105">
        <f t="shared" si="12"/>
        <v>1</v>
      </c>
      <c r="BL48" s="105">
        <f t="shared" si="13"/>
        <v>0</v>
      </c>
      <c r="BM48" s="272">
        <f t="shared" si="14"/>
        <v>1227.6496674057651</v>
      </c>
      <c r="BN48" s="116">
        <f t="shared" si="15"/>
        <v>1227.6496674057651</v>
      </c>
    </row>
    <row r="49" spans="1:66" ht="25.5" x14ac:dyDescent="0.25">
      <c r="A49" s="76">
        <v>340780931</v>
      </c>
      <c r="B49" s="75" t="str">
        <f>VLOOKUP(base!A49,scansanté2024!$B$12:$L$69,2,FALSE)</f>
        <v>CLINIQUE ST MARTIN DE VIGNOGOUL</v>
      </c>
      <c r="C49" s="75" t="str">
        <f>VLOOKUP(base!A49,dotpop24!$B$8:$U$67,3,FALSE)</f>
        <v>EBL</v>
      </c>
      <c r="D49" s="61">
        <f>VLOOKUP(base!A49,scansanté2024!$B$12:$L$69,4,FALSE)</f>
        <v>33514</v>
      </c>
      <c r="E49" s="118">
        <f>VLOOKUP(base!A49,scansanté2024!$B$12:$L$69,7,FALSE)</f>
        <v>486</v>
      </c>
      <c r="F49" s="118">
        <f>VLOOKUP(base!A49,scansanté2024!$B$12:$L$69,8,FALSE)</f>
        <v>0</v>
      </c>
      <c r="G49" s="118">
        <f>VLOOKUP(base!A49,scansanté2024!$B$12:$L$69,11,FALSE)</f>
        <v>252</v>
      </c>
      <c r="H49" s="118">
        <f>VLOOKUP(base!A49,dotpop24!$B$8:$U$67,20,FALSE)</f>
        <v>1072799</v>
      </c>
      <c r="I49" s="117">
        <f>VLOOKUP(base!A49,PSYSAE2023OCTOT!$F$2:$AQ$60,7,FALSE)</f>
        <v>90</v>
      </c>
      <c r="J49" s="117">
        <v>0</v>
      </c>
      <c r="K49" s="117">
        <v>0</v>
      </c>
      <c r="L49" s="117">
        <v>0</v>
      </c>
      <c r="M49" s="117">
        <v>0</v>
      </c>
      <c r="N49" s="117">
        <v>0</v>
      </c>
      <c r="O49" s="117">
        <f>VLOOKUP(base!A49,PSYSAE2023OCTOT!$F$2:$AQ$60,18,FALSE)</f>
        <v>31255</v>
      </c>
      <c r="P49" s="117">
        <v>0</v>
      </c>
      <c r="Q49" s="117">
        <v>0</v>
      </c>
      <c r="R49" s="117">
        <v>0</v>
      </c>
      <c r="S49" s="117">
        <v>0</v>
      </c>
      <c r="T49" s="117">
        <v>0</v>
      </c>
      <c r="U49" s="114">
        <f t="shared" si="2"/>
        <v>0.95144596651445967</v>
      </c>
      <c r="V49" s="114">
        <v>0</v>
      </c>
      <c r="W49" s="114">
        <v>0</v>
      </c>
      <c r="X49" s="114">
        <v>0</v>
      </c>
      <c r="Y49" s="114">
        <v>0</v>
      </c>
      <c r="Z49" s="114">
        <v>0</v>
      </c>
      <c r="AA49" s="115">
        <f t="shared" si="5"/>
        <v>0</v>
      </c>
      <c r="AB49" s="115">
        <f t="shared" si="5"/>
        <v>0</v>
      </c>
      <c r="AC49" s="115">
        <f t="shared" si="5"/>
        <v>0</v>
      </c>
      <c r="AD49" s="115">
        <f t="shared" si="5"/>
        <v>0</v>
      </c>
      <c r="AE49" s="115">
        <f t="shared" si="5"/>
        <v>0</v>
      </c>
      <c r="AF49" s="115">
        <f t="shared" si="19"/>
        <v>0</v>
      </c>
      <c r="AG49" s="61">
        <f>VLOOKUP(base!A49,PSYSAE2023OCTOT!$F$2:$AQ$60,14,FALSE)</f>
        <v>12</v>
      </c>
      <c r="AH49" s="61">
        <v>0</v>
      </c>
      <c r="AI49" s="61">
        <v>0</v>
      </c>
      <c r="AJ49" s="61">
        <f>VLOOKUP(base!A49,PSYSAE2023OCTOT!$F$2:$AQ$60,24,FALSE)</f>
        <v>5830</v>
      </c>
      <c r="AK49" s="61">
        <v>0</v>
      </c>
      <c r="AL49" s="61">
        <v>0</v>
      </c>
      <c r="AM49" s="105">
        <f t="shared" si="6"/>
        <v>1.3310502283105023</v>
      </c>
      <c r="AN49" s="105">
        <v>0</v>
      </c>
      <c r="AO49" s="105">
        <v>0</v>
      </c>
      <c r="AP49" s="61">
        <f t="shared" si="7"/>
        <v>0</v>
      </c>
      <c r="AQ49" s="61">
        <f t="shared" si="7"/>
        <v>0</v>
      </c>
      <c r="AR49" s="61">
        <f t="shared" si="7"/>
        <v>0</v>
      </c>
      <c r="AS49" s="117">
        <v>0</v>
      </c>
      <c r="AT49" s="117">
        <v>0</v>
      </c>
      <c r="AU49" s="117">
        <v>0</v>
      </c>
      <c r="AV49" s="117">
        <v>0</v>
      </c>
      <c r="AW49" s="117">
        <v>0</v>
      </c>
      <c r="AX49" s="117">
        <v>0</v>
      </c>
      <c r="AY49" s="117">
        <v>0</v>
      </c>
      <c r="AZ49" s="117">
        <v>0</v>
      </c>
      <c r="BA49" s="117">
        <v>0</v>
      </c>
      <c r="BB49" s="117">
        <v>0</v>
      </c>
      <c r="BC49" s="223">
        <f>PSYSAE2023OCTOT!AP46</f>
        <v>382</v>
      </c>
      <c r="BD49" s="223"/>
      <c r="BE49" s="268">
        <f t="shared" si="8"/>
        <v>382</v>
      </c>
      <c r="BF49" s="61">
        <f>H49/((I49+J49+K49+L49+M49+N49)+($BF$1*(AG49+AH49+AI49))+($BF$2*(AS49+AT49+AU49)))</f>
        <v>10642.847222222223</v>
      </c>
      <c r="BG49" s="124">
        <f>$BF$1*BF49</f>
        <v>9578.5625</v>
      </c>
      <c r="BH49" s="124">
        <f t="shared" si="9"/>
        <v>0</v>
      </c>
      <c r="BI49" s="116">
        <f t="shared" si="10"/>
        <v>0</v>
      </c>
      <c r="BJ49" s="116">
        <f t="shared" si="11"/>
        <v>1072799</v>
      </c>
      <c r="BK49" s="105">
        <f t="shared" si="12"/>
        <v>1</v>
      </c>
      <c r="BL49" s="105">
        <f t="shared" si="13"/>
        <v>0</v>
      </c>
      <c r="BM49" s="272">
        <f t="shared" si="14"/>
        <v>2808.3743455497383</v>
      </c>
      <c r="BN49" s="116">
        <f t="shared" si="15"/>
        <v>2808.3743455497383</v>
      </c>
    </row>
    <row r="50" spans="1:66" x14ac:dyDescent="0.25">
      <c r="A50" s="76">
        <v>460780554</v>
      </c>
      <c r="B50" s="75" t="str">
        <f>VLOOKUP(base!A50,scansanté2024!$B$12:$L$69,2,FALSE)</f>
        <v>CHS DE LEYME</v>
      </c>
      <c r="C50" s="75" t="str">
        <f>VLOOKUP(base!A50,dotpop24!$B$8:$U$67,3,FALSE)</f>
        <v>EBNL</v>
      </c>
      <c r="D50" s="61">
        <f>VLOOKUP(base!A50,scansanté2024!$B$12:$L$69,4,FALSE)</f>
        <v>49980</v>
      </c>
      <c r="E50" s="118">
        <f>VLOOKUP(base!A50,scansanté2024!$B$12:$L$69,7,FALSE)</f>
        <v>2658</v>
      </c>
      <c r="F50" s="118">
        <f>VLOOKUP(base!A50,scansanté2024!$B$12:$L$69,8,FALSE)</f>
        <v>80125</v>
      </c>
      <c r="G50" s="118">
        <f>VLOOKUP(base!A50,scansanté2024!$B$12:$L$69,11,FALSE)</f>
        <v>8158</v>
      </c>
      <c r="H50" s="118">
        <f>VLOOKUP(base!A50,dotpop24!$B$8:$U$67,20,FALSE)</f>
        <v>37138465</v>
      </c>
      <c r="I50" s="117">
        <f>VLOOKUP(base!A50,PSYSAE2023OCTOT!$F$2:$AQ$60,7,FALSE)</f>
        <v>130</v>
      </c>
      <c r="J50" s="117">
        <v>0</v>
      </c>
      <c r="K50" s="117">
        <f>VLOOKUP(base!A50,PSYSAE2023OCTOT!$F$2:$AQ$60,9,FALSE)</f>
        <v>8</v>
      </c>
      <c r="L50" s="117">
        <v>0</v>
      </c>
      <c r="M50" s="117">
        <v>0</v>
      </c>
      <c r="N50" s="117">
        <v>0</v>
      </c>
      <c r="O50" s="117">
        <f>VLOOKUP(base!A50,PSYSAE2023OCTOT!$F$2:$AQ$60,18,FALSE)</f>
        <v>35532</v>
      </c>
      <c r="P50" s="117">
        <f>VLOOKUP(base!A50,PSYSAE2023OCTOT!$F$2:$AQ$60,19,FALSE)</f>
        <v>0</v>
      </c>
      <c r="Q50" s="117">
        <f>VLOOKUP(base!A50,PSYSAE2023OCTOT!$F$2:$AQ$60,20,FALSE)</f>
        <v>1663</v>
      </c>
      <c r="R50" s="117">
        <f>VLOOKUP(base!A50,PSYSAE2023OCTOT!$F$2:$AQ$60,21,FALSE)</f>
        <v>0</v>
      </c>
      <c r="S50" s="117">
        <f>VLOOKUP(base!A50,PSYSAE2023OCTOT!$F$2:$AQ$60,22,FALSE)</f>
        <v>0</v>
      </c>
      <c r="T50" s="117">
        <f>VLOOKUP(base!A50,PSYSAE2023OCTOT!$F$2:$AQ$60,23,FALSE)</f>
        <v>0</v>
      </c>
      <c r="U50" s="114">
        <f t="shared" si="2"/>
        <v>0.74883034773445734</v>
      </c>
      <c r="V50" s="114">
        <v>0</v>
      </c>
      <c r="W50" s="114">
        <f t="shared" si="4"/>
        <v>0.56952054794520546</v>
      </c>
      <c r="X50" s="114">
        <v>0</v>
      </c>
      <c r="Y50" s="114">
        <v>0</v>
      </c>
      <c r="Z50" s="114">
        <v>0</v>
      </c>
      <c r="AA50" s="115">
        <f t="shared" si="5"/>
        <v>19.652054794520549</v>
      </c>
      <c r="AB50" s="115">
        <f t="shared" si="5"/>
        <v>0</v>
      </c>
      <c r="AC50" s="115">
        <f t="shared" si="5"/>
        <v>2.6438356164383561</v>
      </c>
      <c r="AD50" s="115">
        <f t="shared" si="5"/>
        <v>0</v>
      </c>
      <c r="AE50" s="115">
        <f t="shared" si="5"/>
        <v>0</v>
      </c>
      <c r="AF50" s="115">
        <f t="shared" si="19"/>
        <v>0</v>
      </c>
      <c r="AG50" s="61">
        <f>VLOOKUP(base!A50,PSYSAE2023OCTOT!$F$2:$AQ$60,14,FALSE)</f>
        <v>85</v>
      </c>
      <c r="AH50" s="61">
        <f>VLOOKUP(base!A50,PSYSAE2023OCTOT!$F$2:$AQ$60,15,FALSE)</f>
        <v>8</v>
      </c>
      <c r="AI50" s="61">
        <v>0</v>
      </c>
      <c r="AJ50" s="61">
        <f>VLOOKUP(base!A50,PSYSAE2023OCTOT!$F$2:$AQ$60,24,FALSE)</f>
        <v>11606</v>
      </c>
      <c r="AK50" s="61">
        <f>VLOOKUP(base!A50,PSYSAE2023OCTOT!$F$2:$AQ$60,25,FALSE)</f>
        <v>42</v>
      </c>
      <c r="AL50" s="61">
        <f>VLOOKUP(base!A50,PSYSAE2023OCTOT!$F$2:$AQ$60,26,FALSE)</f>
        <v>0</v>
      </c>
      <c r="AM50" s="105">
        <f t="shared" si="6"/>
        <v>0.37408541498791298</v>
      </c>
      <c r="AN50" s="105">
        <f t="shared" si="16"/>
        <v>1.4383561643835616E-2</v>
      </c>
      <c r="AO50" s="105">
        <v>0</v>
      </c>
      <c r="AP50" s="61">
        <f>IFERROR(MAX(0, ((AG50*365*$AP$1 - AG50*365*AM50) / 365)), 0)</f>
        <v>48.952739726027396</v>
      </c>
      <c r="AQ50" s="61">
        <f t="shared" si="7"/>
        <v>7.484931506849315</v>
      </c>
      <c r="AR50" s="61">
        <f t="shared" si="7"/>
        <v>0</v>
      </c>
      <c r="AS50" s="117">
        <f>VLOOKUP(base!A50,PSYSAE2023OCTOT!$F$2:$AQ$60,27,FALSE)</f>
        <v>19</v>
      </c>
      <c r="AT50" s="117">
        <f>VLOOKUP(base!A50,PSYSAE2023OCTOT!$F$2:$AQ$60,28,FALSE)</f>
        <v>5</v>
      </c>
      <c r="AU50" s="117">
        <f>VLOOKUP(base!A50,PSYSAE2023OCTOT!$F$2:$AQ$60,29,FALSE)</f>
        <v>12</v>
      </c>
      <c r="AV50" s="117">
        <f>VLOOKUP(base!A50,PSYSAE2023OCTOT!$F$2:$AQ$60,30,FALSE)</f>
        <v>56309</v>
      </c>
      <c r="AW50" s="117">
        <f>VLOOKUP(base!A50,PSYSAE2023OCTOT!$F$2:$AQ$60,31,FALSE)</f>
        <v>1354</v>
      </c>
      <c r="AX50" s="117">
        <f>VLOOKUP(base!A50,PSYSAE2023OCTOT!$F$2:$AQ$60,32,FALSE)</f>
        <v>4638</v>
      </c>
      <c r="AY50" s="117">
        <f>VLOOKUP(base!A50,PSYSAE2023OCTOT!$F$2:$AQ$60,33,FALSE)</f>
        <v>7770</v>
      </c>
      <c r="AZ50" s="117">
        <f>VLOOKUP(base!A50,PSYSAE2023OCTOT!$F$2:$AQ$60,34,FALSE)</f>
        <v>1874</v>
      </c>
      <c r="BA50" s="117">
        <f>VLOOKUP(base!A50,PSYSAE2023OCTOT!$F$2:$AQ$60,35,FALSE)</f>
        <v>2569</v>
      </c>
      <c r="BB50" s="117">
        <f>VLOOKUP(base!A50,PSYSAE2023OCTOT!$F$2:$AQ$60,36,FALSE)</f>
        <v>127</v>
      </c>
      <c r="BC50" s="223">
        <f>PSYSAE2023OCTOT!AP47</f>
        <v>7930</v>
      </c>
      <c r="BD50" s="223">
        <f>PSYSAE2023OCTOT!AQ47</f>
        <v>6878</v>
      </c>
      <c r="BE50" s="268">
        <f t="shared" si="8"/>
        <v>1052</v>
      </c>
      <c r="BF50" s="61">
        <f>H50/((I50+J50+K50+L50+M50+N50)+($BF$1*(AG50+AH50+AI50))+($BF$2*(AS50+AT50+AU50)))</f>
        <v>161612.11923411663</v>
      </c>
      <c r="BG50" s="124">
        <f>$BF$1*BF50</f>
        <v>145450.90731070496</v>
      </c>
      <c r="BH50" s="124">
        <f t="shared" si="9"/>
        <v>3603286.099526688</v>
      </c>
      <c r="BI50" s="116">
        <f t="shared" si="10"/>
        <v>8208910.4873251906</v>
      </c>
      <c r="BJ50" s="116">
        <f t="shared" si="11"/>
        <v>25326268.41314812</v>
      </c>
      <c r="BK50" s="105">
        <f t="shared" si="12"/>
        <v>0.68194171226915601</v>
      </c>
      <c r="BL50" s="105">
        <f t="shared" si="13"/>
        <v>0.31805828773084399</v>
      </c>
      <c r="BM50" s="272">
        <f t="shared" si="14"/>
        <v>35302.723384030418</v>
      </c>
      <c r="BN50" s="116">
        <f t="shared" si="15"/>
        <v>14286.497663057067</v>
      </c>
    </row>
    <row r="51" spans="1:66" x14ac:dyDescent="0.25">
      <c r="A51" s="76">
        <v>480780147</v>
      </c>
      <c r="B51" s="75" t="str">
        <f>VLOOKUP(base!A51,scansanté2024!$B$12:$L$69,2,FALSE)</f>
        <v>CH F. TOSQUELLES DE ST ALBAN</v>
      </c>
      <c r="C51" s="75" t="str">
        <f>VLOOKUP(base!A51,dotpop24!$B$8:$U$67,3,FALSE)</f>
        <v>EPS</v>
      </c>
      <c r="D51" s="61">
        <f>VLOOKUP(base!A51,scansanté2024!$B$12:$L$69,4,FALSE)</f>
        <v>27607</v>
      </c>
      <c r="E51" s="118">
        <f>VLOOKUP(base!A51,scansanté2024!$B$12:$L$69,7,FALSE)</f>
        <v>1689</v>
      </c>
      <c r="F51" s="118">
        <f>VLOOKUP(base!A51,scansanté2024!$B$12:$L$69,8,FALSE)</f>
        <v>44025</v>
      </c>
      <c r="G51" s="118">
        <f>VLOOKUP(base!A51,scansanté2024!$B$12:$L$69,11,FALSE)</f>
        <v>4262</v>
      </c>
      <c r="H51" s="118">
        <f>VLOOKUP(base!A51,dotpop24!$B$8:$U$67,20,FALSE)</f>
        <v>22924081</v>
      </c>
      <c r="I51" s="117">
        <f>VLOOKUP(base!A51,PSYSAE2023OCTOT!$F$2:$AQ$60,7,FALSE)</f>
        <v>104</v>
      </c>
      <c r="J51" s="117">
        <v>1</v>
      </c>
      <c r="K51" s="117">
        <f>VLOOKUP(base!A51,PSYSAE2023OCTOT!$F$2:$AQ$60,9,FALSE)</f>
        <v>0</v>
      </c>
      <c r="L51" s="117">
        <v>0</v>
      </c>
      <c r="M51" s="117">
        <v>0</v>
      </c>
      <c r="N51" s="117">
        <v>0</v>
      </c>
      <c r="O51" s="117">
        <f>VLOOKUP(base!A51,PSYSAE2023OCTOT!$F$2:$AQ$60,18,FALSE)</f>
        <v>21004</v>
      </c>
      <c r="P51" s="117">
        <f>VLOOKUP(base!A51,PSYSAE2023OCTOT!$F$2:$AQ$60,19,FALSE)</f>
        <v>0</v>
      </c>
      <c r="Q51" s="117">
        <f>VLOOKUP(base!A51,PSYSAE2023OCTOT!$F$2:$AQ$60,20,FALSE)</f>
        <v>0</v>
      </c>
      <c r="R51" s="117">
        <f>VLOOKUP(base!A51,PSYSAE2023OCTOT!$F$2:$AQ$60,21,FALSE)</f>
        <v>0</v>
      </c>
      <c r="S51" s="117">
        <f>VLOOKUP(base!A51,PSYSAE2023OCTOT!$F$2:$AQ$60,22,FALSE)</f>
        <v>0</v>
      </c>
      <c r="T51" s="117">
        <f>VLOOKUP(base!A51,PSYSAE2023OCTOT!$F$2:$AQ$60,23,FALSE)</f>
        <v>0</v>
      </c>
      <c r="U51" s="114">
        <f t="shared" ref="U51" si="20">O51/(I51*365)</f>
        <v>0.55331928345626979</v>
      </c>
      <c r="V51" s="114">
        <v>1</v>
      </c>
      <c r="W51" s="114" t="e">
        <f t="shared" ref="W51" si="21">Q51/(K51*365)</f>
        <v>#DIV/0!</v>
      </c>
      <c r="X51" s="114">
        <v>0</v>
      </c>
      <c r="Y51" s="114">
        <v>0</v>
      </c>
      <c r="Z51" s="114">
        <v>0</v>
      </c>
      <c r="AA51" s="115">
        <f t="shared" ref="AA51:AE51" si="22">IFERROR(MAX(0, ((I51*365*$AA$1 - I51*365*U51) / 365)), 0)</f>
        <v>36.054794520547944</v>
      </c>
      <c r="AB51" s="115">
        <f t="shared" si="22"/>
        <v>0</v>
      </c>
      <c r="AC51" s="115">
        <f t="shared" si="22"/>
        <v>0</v>
      </c>
      <c r="AD51" s="115">
        <f t="shared" si="22"/>
        <v>0</v>
      </c>
      <c r="AE51" s="115">
        <f t="shared" si="22"/>
        <v>0</v>
      </c>
      <c r="AF51" s="115">
        <f t="shared" ref="AF51" si="23">IFERROR(MAX(0, ((N51*365*$AA$1 - N51*365*Z51) / 365)), 0)</f>
        <v>0</v>
      </c>
      <c r="AG51" s="61">
        <f>VLOOKUP(base!A51,PSYSAE2023OCTOT!$F$2:$AQ$60,14,FALSE)</f>
        <v>54</v>
      </c>
      <c r="AH51" s="61">
        <f>VLOOKUP(base!A51,PSYSAE2023OCTOT!$F$2:$AQ$60,15,FALSE)</f>
        <v>0</v>
      </c>
      <c r="AI51" s="61">
        <v>1</v>
      </c>
      <c r="AJ51" s="61">
        <f>VLOOKUP(base!A51,PSYSAE2023OCTOT!$F$2:$AQ$60,24,FALSE)</f>
        <v>6523</v>
      </c>
      <c r="AK51" s="61">
        <f>VLOOKUP(base!A51,PSYSAE2023OCTOT!$F$2:$AQ$60,25,FALSE)</f>
        <v>0</v>
      </c>
      <c r="AL51" s="61">
        <f>VLOOKUP(base!A51,PSYSAE2023OCTOT!$F$2:$AQ$60,26,FALSE)</f>
        <v>0</v>
      </c>
      <c r="AM51" s="105">
        <f t="shared" ref="AM51" si="24">(AJ51/(AG51*365))</f>
        <v>0.33094875697615422</v>
      </c>
      <c r="AN51" s="105" t="e">
        <f t="shared" ref="AN51" si="25">(AK51/(AH51*365))</f>
        <v>#DIV/0!</v>
      </c>
      <c r="AO51" s="105">
        <v>1</v>
      </c>
      <c r="AP51" s="61">
        <f>IFERROR(MAX(0, ((AG51*365*$AP$1 - AG51*365*AM51) / 365)), 0)</f>
        <v>33.42876712328767</v>
      </c>
      <c r="AQ51" s="61">
        <f t="shared" ref="AQ51" si="26">IFERROR(MAX(0, ((AH51*365*$AP$1 - AH51*365*AN51) / 365)), 0)</f>
        <v>0</v>
      </c>
      <c r="AR51" s="61">
        <f t="shared" ref="AR51" si="27">IFERROR(MAX(0, ((AI51*365*$AP$1 - AI51*365*AO51) / 365)), 0)</f>
        <v>0</v>
      </c>
      <c r="AS51" s="117">
        <f>VLOOKUP(base!A51,PSYSAE2023OCTOT!$F$2:$AQ$60,27,FALSE)</f>
        <v>11</v>
      </c>
      <c r="AT51" s="117">
        <f>VLOOKUP(base!A51,PSYSAE2023OCTOT!$F$2:$AQ$60,28,FALSE)</f>
        <v>2</v>
      </c>
      <c r="AU51" s="117">
        <f>VLOOKUP(base!A51,PSYSAE2023OCTOT!$F$2:$AQ$60,29,FALSE)</f>
        <v>0</v>
      </c>
      <c r="AV51" s="117">
        <f>VLOOKUP(base!A51,PSYSAE2023OCTOT!$F$2:$AQ$60,30,FALSE)</f>
        <v>43280</v>
      </c>
      <c r="AW51" s="117">
        <f>VLOOKUP(base!A51,PSYSAE2023OCTOT!$F$2:$AQ$60,31,FALSE)</f>
        <v>405</v>
      </c>
      <c r="AX51" s="117">
        <f>VLOOKUP(base!A51,PSYSAE2023OCTOT!$F$2:$AQ$60,32,FALSE)</f>
        <v>0</v>
      </c>
      <c r="AY51" s="117">
        <f>VLOOKUP(base!A51,PSYSAE2023OCTOT!$F$2:$AQ$60,33,FALSE)</f>
        <v>1787</v>
      </c>
      <c r="AZ51" s="117">
        <f>VLOOKUP(base!A51,PSYSAE2023OCTOT!$F$2:$AQ$60,34,FALSE)</f>
        <v>671</v>
      </c>
      <c r="BA51" s="117">
        <f>VLOOKUP(base!A51,PSYSAE2023OCTOT!$F$2:$AQ$60,35,FALSE)</f>
        <v>154</v>
      </c>
      <c r="BB51" s="117">
        <f>VLOOKUP(base!A51,PSYSAE2023OCTOT!$F$2:$AQ$60,36,FALSE)</f>
        <v>40</v>
      </c>
      <c r="BC51" s="223">
        <f>PSYSAE2023OCTOT!AP48</f>
        <v>4084</v>
      </c>
      <c r="BD51" s="223">
        <f>PSYSAE2023OCTOT!AQ48</f>
        <v>3447</v>
      </c>
      <c r="BE51" s="268">
        <f t="shared" ref="BE51" si="28">BC51-BD51</f>
        <v>637</v>
      </c>
      <c r="BF51" s="61">
        <f>H51/((I51+J51+K51+L51+M51+N51)+($BF$1*(AG51+AH51+AI51))+($BF$2*(AS51+AT51+AU51)))</f>
        <v>145619.06304589487</v>
      </c>
      <c r="BG51" s="124">
        <f>$BF$1*BF51</f>
        <v>131057.15674130539</v>
      </c>
      <c r="BH51" s="124">
        <f t="shared" ref="BH51" si="29">(AA51+AB51+AC51+AD51+AE51+AF51)*BF51</f>
        <v>5250265.3963944558</v>
      </c>
      <c r="BI51" s="116">
        <f t="shared" ref="BI51" si="30">(AP51+AQ51+AR51)*BG51</f>
        <v>4381079.1725453082</v>
      </c>
      <c r="BJ51" s="116">
        <f t="shared" ref="BJ51" si="31">H51-BH51-BI51</f>
        <v>13292736.431060238</v>
      </c>
      <c r="BK51" s="105">
        <f t="shared" ref="BK51" si="32">BJ51/H51</f>
        <v>0.57985907618544175</v>
      </c>
      <c r="BL51" s="105">
        <f t="shared" si="13"/>
        <v>0.42014092381455825</v>
      </c>
      <c r="BM51" s="272">
        <f t="shared" ref="BM51" si="33">H51/BE51</f>
        <v>35987.568288854003</v>
      </c>
      <c r="BN51" s="116">
        <f t="shared" ref="BN51" si="34">H51/(BE51+($BF$2*BD51))</f>
        <v>16228.576181795657</v>
      </c>
    </row>
    <row r="52" spans="1:66" ht="25.5" x14ac:dyDescent="0.25">
      <c r="A52" s="76">
        <v>340780477</v>
      </c>
      <c r="B52" s="75" t="str">
        <f>VLOOKUP(base!A52,scansanté2024!$B$12:$L$69,2,FALSE)</f>
        <v>CHU MONTPELLIER</v>
      </c>
      <c r="C52" s="75" t="str">
        <f>VLOOKUP(base!A52,dotpop24!$B$8:$U$67,3,FALSE)</f>
        <v>EPS</v>
      </c>
      <c r="D52" s="61">
        <f>VLOOKUP(base!A52,scansanté2024!$B$12:$L$69,4,FALSE)</f>
        <v>106279</v>
      </c>
      <c r="E52" s="118">
        <f>VLOOKUP(base!A52,scansanté2024!$B$12:$L$69,7,FALSE)</f>
        <v>5633</v>
      </c>
      <c r="F52" s="118">
        <f>VLOOKUP(base!A52,scansanté2024!$B$12:$L$69,8,FALSE)</f>
        <v>266306</v>
      </c>
      <c r="G52" s="118">
        <f>VLOOKUP(base!A52,scansanté2024!$B$12:$L$69,11,FALSE)</f>
        <v>25446</v>
      </c>
      <c r="H52" s="118">
        <f>VLOOKUP(base!A52,dotpop24!$B$8:$U$67,20,FALSE)</f>
        <v>71361639</v>
      </c>
      <c r="I52" s="117">
        <f>VLOOKUP(base!A52,PSYSAE2023OCTOT!$F$2:$AQ$60,7,FALSE)</f>
        <v>208</v>
      </c>
      <c r="J52" s="117">
        <f>VLOOKUP(base!A52,PSYSAE2023OCTOT!$F$2:$AQ$60,8,FALSE)</f>
        <v>26</v>
      </c>
      <c r="K52" s="117">
        <f>VLOOKUP(base!A52,PSYSAE2023OCTOT!$F$2:$AQ$60,9,FALSE)</f>
        <v>7</v>
      </c>
      <c r="L52" s="117">
        <v>0</v>
      </c>
      <c r="M52" s="117">
        <v>0</v>
      </c>
      <c r="N52" s="117">
        <v>0</v>
      </c>
      <c r="O52" s="117">
        <f>VLOOKUP(base!A52,PSYSAE2023OCTOT!$F$2:$AQ$60,18,FALSE)</f>
        <v>72727</v>
      </c>
      <c r="P52" s="117">
        <f>VLOOKUP(base!A52,PSYSAE2023OCTOT!$F$2:$AQ$60,19,FALSE)</f>
        <v>653</v>
      </c>
      <c r="Q52" s="117">
        <f>VLOOKUP(base!A52,PSYSAE2023OCTOT!$F$2:$AQ$60,20,FALSE)</f>
        <v>1312</v>
      </c>
      <c r="R52" s="117">
        <v>0</v>
      </c>
      <c r="S52" s="117">
        <v>0</v>
      </c>
      <c r="T52" s="117">
        <v>0</v>
      </c>
      <c r="U52" s="114">
        <f t="shared" si="2"/>
        <v>0.95794257112750258</v>
      </c>
      <c r="V52" s="114">
        <v>0</v>
      </c>
      <c r="W52" s="114">
        <v>0</v>
      </c>
      <c r="X52" s="114">
        <v>0</v>
      </c>
      <c r="Y52" s="114">
        <v>0</v>
      </c>
      <c r="Z52" s="114">
        <v>0</v>
      </c>
      <c r="AA52" s="115">
        <f t="shared" si="5"/>
        <v>0</v>
      </c>
      <c r="AB52" s="115">
        <f t="shared" si="5"/>
        <v>23.4</v>
      </c>
      <c r="AC52" s="115">
        <f t="shared" si="5"/>
        <v>6.3</v>
      </c>
      <c r="AD52" s="115">
        <f t="shared" si="5"/>
        <v>0</v>
      </c>
      <c r="AE52" s="115">
        <f t="shared" si="5"/>
        <v>0</v>
      </c>
      <c r="AF52" s="115">
        <f t="shared" si="19"/>
        <v>0</v>
      </c>
      <c r="AG52" s="61">
        <f>VLOOKUP(base!A52,PSYSAE2023OCTOT!$F$2:$AQ$60,14,FALSE)</f>
        <v>193</v>
      </c>
      <c r="AH52" s="61">
        <v>0</v>
      </c>
      <c r="AI52" s="61">
        <v>0</v>
      </c>
      <c r="AJ52" s="61">
        <f>VLOOKUP(base!A52,PSYSAE2023OCTOT!$F$2:$AQ$60,24,FALSE)</f>
        <v>36006</v>
      </c>
      <c r="AK52" s="61">
        <v>0</v>
      </c>
      <c r="AL52" s="61">
        <v>0</v>
      </c>
      <c r="AM52" s="105">
        <f t="shared" si="6"/>
        <v>0.51112215203350131</v>
      </c>
      <c r="AN52" s="105">
        <v>0</v>
      </c>
      <c r="AO52" s="105">
        <v>0</v>
      </c>
      <c r="AP52" s="61">
        <f t="shared" si="7"/>
        <v>84.703424657534242</v>
      </c>
      <c r="AQ52" s="61">
        <f t="shared" si="7"/>
        <v>0</v>
      </c>
      <c r="AR52" s="61">
        <f t="shared" si="7"/>
        <v>0</v>
      </c>
      <c r="AS52" s="117">
        <f>VLOOKUP(base!A52,PSYSAE2023OCTOT!$F$2:$AQ$60,27,FALSE)</f>
        <v>11</v>
      </c>
      <c r="AT52" s="117">
        <f>VLOOKUP(base!A52,PSYSAE2023OCTOT!$F$2:$AQ$60,28,FALSE)</f>
        <v>20</v>
      </c>
      <c r="AU52" s="117">
        <f>VLOOKUP(base!A52,PSYSAE2023OCTOT!$F$2:$AQ$60,29,FALSE)</f>
        <v>14</v>
      </c>
      <c r="AV52" s="117">
        <f>VLOOKUP(base!A52,PSYSAE2023OCTOT!$F$2:$AQ$60,30,FALSE)</f>
        <v>53115</v>
      </c>
      <c r="AW52" s="117">
        <f>VLOOKUP(base!A52,PSYSAE2023OCTOT!$F$2:$AQ$60,31,FALSE)</f>
        <v>89478</v>
      </c>
      <c r="AX52" s="117">
        <f>VLOOKUP(base!A52,PSYSAE2023OCTOT!$F$2:$AQ$60,32,FALSE)</f>
        <v>36262</v>
      </c>
      <c r="AY52" s="117">
        <f>VLOOKUP(base!A52,PSYSAE2023OCTOT!$F$2:$AQ$60,33,FALSE)</f>
        <v>26460</v>
      </c>
      <c r="AZ52" s="117">
        <f>VLOOKUP(base!A52,PSYSAE2023OCTOT!$F$2:$AQ$60,34,FALSE)</f>
        <v>6454</v>
      </c>
      <c r="BA52" s="117">
        <f>VLOOKUP(base!A52,PSYSAE2023OCTOT!$F$2:$AQ$60,35,FALSE)</f>
        <v>4518</v>
      </c>
      <c r="BB52" s="117">
        <f>VLOOKUP(base!A52,PSYSAE2023OCTOT!$F$2:$AQ$60,36,FALSE)</f>
        <v>241</v>
      </c>
      <c r="BC52" s="223">
        <f>PSYSAE2023OCTOT!AP48</f>
        <v>4084</v>
      </c>
      <c r="BD52" s="223">
        <f>PSYSAE2023OCTOT!AQ48</f>
        <v>3447</v>
      </c>
      <c r="BE52" s="268">
        <f t="shared" si="8"/>
        <v>637</v>
      </c>
      <c r="BF52" s="61">
        <f>H52/((I52+J52+K52+L52+M52+N52)+($BF$1*(AG52+AH52+AI52))+($BF$2*(AS52+AT52+AU52)))</f>
        <v>167978.90660860352</v>
      </c>
      <c r="BG52" s="124">
        <f>$BF$1*BF52</f>
        <v>151181.01594774317</v>
      </c>
      <c r="BH52" s="124">
        <f t="shared" si="9"/>
        <v>4988973.5262755239</v>
      </c>
      <c r="BI52" s="116">
        <f t="shared" si="10"/>
        <v>12805549.793979147</v>
      </c>
      <c r="BJ52" s="116">
        <f t="shared" si="11"/>
        <v>53567115.679745331</v>
      </c>
      <c r="BK52" s="105">
        <f t="shared" si="12"/>
        <v>0.7506430125539203</v>
      </c>
      <c r="BL52" s="105">
        <f t="shared" si="13"/>
        <v>0.2493569874460797</v>
      </c>
      <c r="BM52" s="272">
        <f t="shared" si="14"/>
        <v>112027.69073783359</v>
      </c>
      <c r="BN52" s="116">
        <f t="shared" si="15"/>
        <v>50518.831920429002</v>
      </c>
    </row>
    <row r="53" spans="1:66" x14ac:dyDescent="0.25">
      <c r="A53" s="76">
        <v>650780174</v>
      </c>
      <c r="B53" s="75" t="str">
        <f>VLOOKUP(base!A53,scansanté2024!$B$12:$L$69,2,FALSE)</f>
        <v>CH LANNEMEZAN</v>
      </c>
      <c r="C53" s="75" t="str">
        <f>VLOOKUP(base!A53,dotpop24!$B$8:$U$67,3,FALSE)</f>
        <v>EPS</v>
      </c>
      <c r="D53" s="61">
        <f>VLOOKUP(base!A53,scansanté2024!$B$12:$L$69,4,FALSE)</f>
        <v>87239</v>
      </c>
      <c r="E53" s="118">
        <f>VLOOKUP(base!A53,scansanté2024!$B$12:$L$69,7,FALSE)</f>
        <v>14725</v>
      </c>
      <c r="F53" s="118">
        <f>VLOOKUP(base!A53,scansanté2024!$B$12:$L$69,8,FALSE)</f>
        <v>153897</v>
      </c>
      <c r="G53" s="118">
        <f>VLOOKUP(base!A53,scansanté2024!$B$12:$L$69,11,FALSE)</f>
        <v>11034</v>
      </c>
      <c r="H53" s="118">
        <f>VLOOKUP(base!A53,dotpop24!$B$8:$U$67,20,FALSE)</f>
        <v>42663201</v>
      </c>
      <c r="I53" s="117">
        <f>VLOOKUP(base!A53,PSYSAE2023OCTOT!$F$2:$AQ$60,7,FALSE)</f>
        <v>215</v>
      </c>
      <c r="J53" s="117">
        <f>VLOOKUP(base!A53,PSYSAE2023OCTOT!$F$2:$AQ$60,8,FALSE)</f>
        <v>7</v>
      </c>
      <c r="K53" s="117">
        <v>0</v>
      </c>
      <c r="L53" s="117">
        <f>VLOOKUP(base!A53,PSYSAE2023OCTOT!$F$2:$AQ$60,10,FALSE)</f>
        <v>17</v>
      </c>
      <c r="M53" s="117">
        <v>0</v>
      </c>
      <c r="N53" s="117">
        <f>VLOOKUP(base!A53,PSYSAE2023OCTOT!$F$2:$AQ$60,12,FALSE)</f>
        <v>19</v>
      </c>
      <c r="O53" s="117">
        <f>VLOOKUP(base!A53,PSYSAE2023OCTOT!$F$2:$AQ$60,18,FALSE)</f>
        <v>62785</v>
      </c>
      <c r="P53" s="117">
        <f>VLOOKUP(base!A53,PSYSAE2023OCTOT!$F$2:$AQ$60,19,FALSE)</f>
        <v>539</v>
      </c>
      <c r="Q53" s="117">
        <v>0</v>
      </c>
      <c r="R53" s="117">
        <f>VLOOKUP(base!A53,PSYSAE2023OCTOT!$F$2:$AQ$60,21,FALSE)</f>
        <v>4551</v>
      </c>
      <c r="S53" s="117">
        <v>0</v>
      </c>
      <c r="T53" s="117">
        <f>VLOOKUP(base!A53,PSYSAE2023OCTOT!$F$2:$AQ$60,23,FALSE)</f>
        <v>5708</v>
      </c>
      <c r="U53" s="114">
        <f t="shared" si="2"/>
        <v>0.80006371455877667</v>
      </c>
      <c r="V53" s="114">
        <f t="shared" si="3"/>
        <v>0.21095890410958903</v>
      </c>
      <c r="W53" s="114">
        <v>0</v>
      </c>
      <c r="X53" s="114">
        <f t="shared" si="4"/>
        <v>0.73344077356970183</v>
      </c>
      <c r="Y53" s="114">
        <v>0</v>
      </c>
      <c r="Z53" s="114">
        <f t="shared" si="4"/>
        <v>0.82307137707281908</v>
      </c>
      <c r="AA53" s="115">
        <f t="shared" si="5"/>
        <v>21.486301369863014</v>
      </c>
      <c r="AB53" s="115">
        <f t="shared" si="5"/>
        <v>4.8232876712328769</v>
      </c>
      <c r="AC53" s="115">
        <f t="shared" si="5"/>
        <v>0</v>
      </c>
      <c r="AD53" s="115">
        <f t="shared" si="5"/>
        <v>2.8315068493150686</v>
      </c>
      <c r="AE53" s="115">
        <f t="shared" si="5"/>
        <v>0</v>
      </c>
      <c r="AF53" s="115">
        <f t="shared" si="19"/>
        <v>1.4616438356164383</v>
      </c>
      <c r="AG53" s="61">
        <f>VLOOKUP(base!A53,PSYSAE2023OCTOT!$F$2:$AQ$60,14,FALSE)</f>
        <v>153</v>
      </c>
      <c r="AH53" s="61">
        <f>VLOOKUP(base!A53,PSYSAE2023OCTOT!$F$2:$AQ$60,15,FALSE)</f>
        <v>5</v>
      </c>
      <c r="AI53" s="61">
        <f>VLOOKUP(base!A53,PSYSAE2023OCTOT!$F$2:$AQ$60,16,FALSE)</f>
        <v>0</v>
      </c>
      <c r="AJ53" s="61">
        <f>VLOOKUP(base!A53,PSYSAE2023OCTOT!$F$2:$AQ$60,24,FALSE)</f>
        <v>16221</v>
      </c>
      <c r="AK53" s="61">
        <f>VLOOKUP(base!A53,PSYSAE2023OCTOT!$F$2:$AQ$60,25,FALSE)</f>
        <v>35</v>
      </c>
      <c r="AL53" s="61">
        <v>0</v>
      </c>
      <c r="AM53" s="105">
        <f t="shared" si="6"/>
        <v>0.29046467902229384</v>
      </c>
      <c r="AN53" s="105">
        <f t="shared" si="16"/>
        <v>1.9178082191780823E-2</v>
      </c>
      <c r="AO53" s="105">
        <v>0</v>
      </c>
      <c r="AP53" s="61">
        <f t="shared" si="7"/>
        <v>100.90890410958905</v>
      </c>
      <c r="AQ53" s="61">
        <f t="shared" si="7"/>
        <v>4.654109589041096</v>
      </c>
      <c r="AR53" s="61">
        <f t="shared" si="7"/>
        <v>0</v>
      </c>
      <c r="AS53" s="117">
        <f>VLOOKUP(base!A53,PSYSAE2023OCTOT!$F$2:$AQ$60,27,FALSE)</f>
        <v>17</v>
      </c>
      <c r="AT53" s="117">
        <f>VLOOKUP(base!A53,PSYSAE2023OCTOT!$F$2:$AQ$60,28,FALSE)</f>
        <v>5</v>
      </c>
      <c r="AU53" s="117">
        <f>VLOOKUP(base!A53,PSYSAE2023OCTOT!$F$2:$AQ$60,29,FALSE)</f>
        <v>12</v>
      </c>
      <c r="AV53" s="117">
        <f>VLOOKUP(base!A53,PSYSAE2023OCTOT!$F$2:$AQ$60,30,FALSE)</f>
        <v>89815</v>
      </c>
      <c r="AW53" s="117">
        <f>VLOOKUP(base!A53,PSYSAE2023OCTOT!$F$2:$AQ$60,31,FALSE)</f>
        <v>1823</v>
      </c>
      <c r="AX53" s="117">
        <f>VLOOKUP(base!A53,PSYSAE2023OCTOT!$F$2:$AQ$60,32,FALSE)</f>
        <v>24332</v>
      </c>
      <c r="AY53" s="117">
        <f>VLOOKUP(base!A53,PSYSAE2023OCTOT!$F$2:$AQ$60,33,FALSE)</f>
        <v>14239</v>
      </c>
      <c r="AZ53" s="117">
        <f>VLOOKUP(base!A53,PSYSAE2023OCTOT!$F$2:$AQ$60,34,FALSE)</f>
        <v>1101</v>
      </c>
      <c r="BA53" s="117">
        <f>VLOOKUP(base!A53,PSYSAE2023OCTOT!$F$2:$AQ$60,35,FALSE)</f>
        <v>4551</v>
      </c>
      <c r="BB53" s="117">
        <f>VLOOKUP(base!A53,PSYSAE2023OCTOT!$F$2:$AQ$60,36,FALSE)</f>
        <v>86</v>
      </c>
      <c r="BC53" s="223">
        <f>PSYSAE2023OCTOT!AP49</f>
        <v>11376</v>
      </c>
      <c r="BD53" s="223">
        <f>PSYSAE2023OCTOT!AQ49</f>
        <v>9602</v>
      </c>
      <c r="BE53" s="268">
        <f t="shared" si="8"/>
        <v>1774</v>
      </c>
      <c r="BF53" s="61">
        <f>H53/((I53+J53+K53+L53+M53+N53)+($BF$1*(AG53+AH53+AI53))+($BF$2*(AS53+AT53+AU53)))</f>
        <v>104605.12688488414</v>
      </c>
      <c r="BG53" s="124">
        <f>$BF$1*BF53</f>
        <v>94144.614196395734</v>
      </c>
      <c r="BH53" s="124">
        <f t="shared" si="9"/>
        <v>3201203.4720661803</v>
      </c>
      <c r="BI53" s="116">
        <f t="shared" si="10"/>
        <v>9938189.1980663724</v>
      </c>
      <c r="BJ53" s="116">
        <f t="shared" si="11"/>
        <v>29523808.329867449</v>
      </c>
      <c r="BK53" s="105">
        <f t="shared" si="12"/>
        <v>0.69202046817507779</v>
      </c>
      <c r="BL53" s="105">
        <f t="shared" si="13"/>
        <v>0.30797953182492221</v>
      </c>
      <c r="BM53" s="272">
        <f t="shared" si="14"/>
        <v>24049.155016910936</v>
      </c>
      <c r="BN53" s="116">
        <f t="shared" si="15"/>
        <v>10843.498074699131</v>
      </c>
    </row>
    <row r="54" spans="1:66" ht="25.5" x14ac:dyDescent="0.25">
      <c r="A54" s="76">
        <v>650780729</v>
      </c>
      <c r="B54" s="75" t="str">
        <f>VLOOKUP(base!A54,scansanté2024!$B$12:$L$69,2,FALSE)</f>
        <v>CLINIQUE PSYCHIATRIQUE LAMPRE</v>
      </c>
      <c r="C54" s="75" t="str">
        <f>VLOOKUP(base!A54,dotpop24!$B$8:$U$67,3,FALSE)</f>
        <v>EBL</v>
      </c>
      <c r="D54" s="61">
        <f>VLOOKUP(base!A54,scansanté2024!$B$12:$L$69,4,FALSE)</f>
        <v>13967</v>
      </c>
      <c r="E54" s="118">
        <f>VLOOKUP(base!A54,scansanté2024!$B$12:$L$69,7,FALSE)</f>
        <v>591</v>
      </c>
      <c r="F54" s="118">
        <f>VLOOKUP(base!A54,scansanté2024!$B$12:$L$69,8,FALSE)</f>
        <v>0</v>
      </c>
      <c r="G54" s="118">
        <f>VLOOKUP(base!A54,scansanté2024!$B$12:$L$69,11,FALSE)</f>
        <v>469</v>
      </c>
      <c r="H54" s="118">
        <f>VLOOKUP(base!A54,dotpop24!$B$8:$U$67,20,FALSE)</f>
        <v>427372</v>
      </c>
      <c r="I54" s="117">
        <f>VLOOKUP(base!A54,PSYSAE2023OCTOT!$F$2:$AQ$60,7,FALSE)</f>
        <v>49</v>
      </c>
      <c r="J54" s="117">
        <v>0</v>
      </c>
      <c r="K54" s="117">
        <v>0</v>
      </c>
      <c r="L54" s="117">
        <v>0</v>
      </c>
      <c r="M54" s="117">
        <v>0</v>
      </c>
      <c r="N54" s="117">
        <v>0</v>
      </c>
      <c r="O54" s="117">
        <f>VLOOKUP(base!A54,PSYSAE2023OCTOT!$F$2:$AQ$60,18,FALSE)</f>
        <v>14171</v>
      </c>
      <c r="P54" s="117">
        <v>0</v>
      </c>
      <c r="Q54" s="117">
        <v>0</v>
      </c>
      <c r="R54" s="117">
        <v>0</v>
      </c>
      <c r="S54" s="117">
        <v>0</v>
      </c>
      <c r="T54" s="117">
        <v>0</v>
      </c>
      <c r="U54" s="114">
        <f t="shared" si="2"/>
        <v>0.79233994967850152</v>
      </c>
      <c r="V54" s="114">
        <v>0</v>
      </c>
      <c r="W54" s="114">
        <v>0</v>
      </c>
      <c r="X54" s="114">
        <v>0</v>
      </c>
      <c r="Y54" s="114">
        <v>0</v>
      </c>
      <c r="Z54" s="114">
        <v>0</v>
      </c>
      <c r="AA54" s="115">
        <f t="shared" si="5"/>
        <v>5.2753424657534245</v>
      </c>
      <c r="AB54" s="115">
        <f t="shared" si="5"/>
        <v>0</v>
      </c>
      <c r="AC54" s="115">
        <f t="shared" si="5"/>
        <v>0</v>
      </c>
      <c r="AD54" s="115">
        <f t="shared" si="5"/>
        <v>0</v>
      </c>
      <c r="AE54" s="115">
        <f t="shared" si="5"/>
        <v>0</v>
      </c>
      <c r="AF54" s="115">
        <f t="shared" si="19"/>
        <v>0</v>
      </c>
      <c r="AG54" s="61">
        <f>VLOOKUP(base!A54,PSYSAE2023OCTOT!$F$2:$AQ$60,14,FALSE)</f>
        <v>12</v>
      </c>
      <c r="AH54" s="61">
        <v>0</v>
      </c>
      <c r="AI54" s="61">
        <v>0</v>
      </c>
      <c r="AJ54" s="61">
        <f>VLOOKUP(base!A54,PSYSAE2023OCTOT!$F$2:$AQ$60,24,FALSE)</f>
        <v>1203</v>
      </c>
      <c r="AK54" s="61">
        <v>0</v>
      </c>
      <c r="AL54" s="61">
        <v>0</v>
      </c>
      <c r="AM54" s="105">
        <f t="shared" si="6"/>
        <v>0.27465753424657535</v>
      </c>
      <c r="AN54" s="105">
        <v>0</v>
      </c>
      <c r="AO54" s="105">
        <v>0</v>
      </c>
      <c r="AP54" s="61">
        <f t="shared" si="7"/>
        <v>8.1041095890410961</v>
      </c>
      <c r="AQ54" s="61">
        <f t="shared" si="7"/>
        <v>0</v>
      </c>
      <c r="AR54" s="61">
        <f t="shared" si="7"/>
        <v>0</v>
      </c>
      <c r="AS54" s="117">
        <v>0</v>
      </c>
      <c r="AT54" s="117">
        <v>0</v>
      </c>
      <c r="AU54" s="117">
        <v>0</v>
      </c>
      <c r="AV54" s="117">
        <v>0</v>
      </c>
      <c r="AW54" s="117">
        <v>0</v>
      </c>
      <c r="AX54" s="117">
        <v>0</v>
      </c>
      <c r="AY54" s="117">
        <v>0</v>
      </c>
      <c r="AZ54" s="117">
        <v>0</v>
      </c>
      <c r="BA54" s="117">
        <v>0</v>
      </c>
      <c r="BB54" s="117">
        <v>0</v>
      </c>
      <c r="BC54" s="223">
        <f>PSYSAE2023OCTOT!AP50</f>
        <v>460</v>
      </c>
      <c r="BD54" s="223"/>
      <c r="BE54" s="268">
        <f t="shared" si="8"/>
        <v>460</v>
      </c>
      <c r="BF54" s="61">
        <f>H54/((I54+J54+K54+L54+M54+N54)+($BF$1*(AG54+AH54+AI54))+($BF$2*(AS54+AT54+AU54)))</f>
        <v>7146.6889632107022</v>
      </c>
      <c r="BG54" s="124">
        <f>$BF$1*BF54</f>
        <v>6432.0200668896323</v>
      </c>
      <c r="BH54" s="124">
        <f t="shared" si="9"/>
        <v>37701.231777156732</v>
      </c>
      <c r="BI54" s="116">
        <f t="shared" si="10"/>
        <v>52125.795500985019</v>
      </c>
      <c r="BJ54" s="116">
        <f t="shared" si="11"/>
        <v>337544.9727218583</v>
      </c>
      <c r="BK54" s="105">
        <f t="shared" si="12"/>
        <v>0.78981536628945814</v>
      </c>
      <c r="BL54" s="105">
        <f t="shared" si="13"/>
        <v>0.21018463371054186</v>
      </c>
      <c r="BM54" s="272">
        <f t="shared" si="14"/>
        <v>929.0695652173913</v>
      </c>
      <c r="BN54" s="116">
        <f t="shared" si="15"/>
        <v>929.0695652173913</v>
      </c>
    </row>
    <row r="55" spans="1:66" x14ac:dyDescent="0.25">
      <c r="A55" s="76">
        <v>650780737</v>
      </c>
      <c r="B55" s="75" t="str">
        <f>VLOOKUP(base!A55,scansanté2024!$B$12:$L$69,2,FALSE)</f>
        <v>SARL CLINIQUE DE PIETAT</v>
      </c>
      <c r="C55" s="75" t="str">
        <f>VLOOKUP(base!A55,dotpop24!$B$8:$U$67,3,FALSE)</f>
        <v>EBL</v>
      </c>
      <c r="D55" s="61">
        <f>VLOOKUP(base!A55,scansanté2024!$B$12:$L$69,4,FALSE)</f>
        <v>13147</v>
      </c>
      <c r="E55" s="118">
        <f>VLOOKUP(base!A55,scansanté2024!$B$12:$L$69,7,FALSE)</f>
        <v>373</v>
      </c>
      <c r="F55" s="118">
        <f>VLOOKUP(base!A55,scansanté2024!$B$12:$L$69,8,FALSE)</f>
        <v>0</v>
      </c>
      <c r="G55" s="118">
        <f>VLOOKUP(base!A55,scansanté2024!$B$12:$L$69,11,FALSE)</f>
        <v>286</v>
      </c>
      <c r="H55" s="118">
        <f>VLOOKUP(base!A55,dotpop24!$B$8:$U$67,20,FALSE)</f>
        <v>333267</v>
      </c>
      <c r="I55" s="117">
        <f>VLOOKUP(base!A55,PSYSAE2023OCTOT!$F$2:$AQ$60,7,FALSE)</f>
        <v>43</v>
      </c>
      <c r="J55" s="117">
        <f>VLOOKUP(base!A55,PSYSAE2023OCTOT!$F$2:$AQ$60,8,FALSE)</f>
        <v>0</v>
      </c>
      <c r="K55" s="117">
        <f>VLOOKUP(base!A55,PSYSAE2023OCTOT!$F$2:$AQ$60,9,FALSE)</f>
        <v>0</v>
      </c>
      <c r="L55" s="117">
        <f>VLOOKUP(base!A55,PSYSAE2023OCTOT!$F$2:$AQ$60,10,FALSE)</f>
        <v>0</v>
      </c>
      <c r="M55" s="117">
        <f>VLOOKUP(base!A55,PSYSAE2023OCTOT!$F$2:$AQ$60,11,FALSE)</f>
        <v>0</v>
      </c>
      <c r="N55" s="117">
        <f>VLOOKUP(base!A55,PSYSAE2023OCTOT!$F$2:$AQ$60,12,FALSE)</f>
        <v>0</v>
      </c>
      <c r="O55" s="117">
        <f>VLOOKUP(base!A55,PSYSAE2023OCTOT!$F$2:$AQ$60,18,FALSE)</f>
        <v>13977</v>
      </c>
      <c r="P55" s="117">
        <f>VLOOKUP(base!A55,PSYSAE2023OCTOT!$F$2:$AQ$60,19,FALSE)</f>
        <v>0</v>
      </c>
      <c r="Q55" s="117">
        <f>VLOOKUP(base!A55,PSYSAE2023OCTOT!$F$2:$AQ$60,20,FALSE)</f>
        <v>0</v>
      </c>
      <c r="R55" s="117">
        <f>VLOOKUP(base!A55,PSYSAE2023OCTOT!$F$2:$AQ$60,21,FALSE)</f>
        <v>0</v>
      </c>
      <c r="S55" s="117">
        <f>VLOOKUP(base!A55,PSYSAE2023OCTOT!$F$2:$AQ$60,22,FALSE)</f>
        <v>0</v>
      </c>
      <c r="T55" s="117">
        <f>VLOOKUP(base!A55,PSYSAE2023OCTOT!$F$2:$AQ$60,23,FALSE)</f>
        <v>0</v>
      </c>
      <c r="U55" s="114">
        <f t="shared" si="2"/>
        <v>0.89053838802166296</v>
      </c>
      <c r="V55" s="114">
        <v>0</v>
      </c>
      <c r="W55" s="114">
        <v>0</v>
      </c>
      <c r="X55" s="114">
        <v>0</v>
      </c>
      <c r="Y55" s="114">
        <v>0</v>
      </c>
      <c r="Z55" s="114">
        <v>0</v>
      </c>
      <c r="AA55" s="115">
        <f t="shared" si="5"/>
        <v>0.40684931506849314</v>
      </c>
      <c r="AB55" s="115">
        <f t="shared" si="5"/>
        <v>0</v>
      </c>
      <c r="AC55" s="115">
        <f t="shared" si="5"/>
        <v>0</v>
      </c>
      <c r="AD55" s="115">
        <f t="shared" si="5"/>
        <v>0</v>
      </c>
      <c r="AE55" s="115">
        <f t="shared" si="5"/>
        <v>0</v>
      </c>
      <c r="AF55" s="115">
        <f t="shared" si="19"/>
        <v>0</v>
      </c>
      <c r="AG55" s="61">
        <f>VLOOKUP(base!A55,PSYSAE2023OCTOT!$F$2:$AQ$60,14,FALSE)</f>
        <v>0</v>
      </c>
      <c r="AH55" s="61">
        <f>VLOOKUP(base!A55,PSYSAE2023OCTOT!$F$2:$AQ$60,15,FALSE)</f>
        <v>0</v>
      </c>
      <c r="AI55" s="61">
        <f>VLOOKUP(base!A55,PSYSAE2023OCTOT!$F$2:$AQ$60,16,FALSE)</f>
        <v>0</v>
      </c>
      <c r="AJ55" s="61">
        <f>VLOOKUP(base!A55,PSYSAE2023OCTOT!$F$2:$AQ$60,24,FALSE)</f>
        <v>0</v>
      </c>
      <c r="AK55" s="61">
        <f>VLOOKUP(base!A55,PSYSAE2023OCTOT!$F$2:$AQ$60,25,FALSE)</f>
        <v>0</v>
      </c>
      <c r="AL55" s="61">
        <f>VLOOKUP(base!A55,PSYSAE2023OCTOT!$F$2:$AQ$60,26,FALSE)</f>
        <v>0</v>
      </c>
      <c r="AM55" s="105">
        <v>0</v>
      </c>
      <c r="AN55" s="105">
        <v>0</v>
      </c>
      <c r="AO55" s="105">
        <v>0</v>
      </c>
      <c r="AP55" s="61">
        <f t="shared" si="7"/>
        <v>0</v>
      </c>
      <c r="AQ55" s="61">
        <f t="shared" si="7"/>
        <v>0</v>
      </c>
      <c r="AR55" s="61">
        <f t="shared" si="7"/>
        <v>0</v>
      </c>
      <c r="AS55" s="117">
        <f>VLOOKUP(base!A55,PSYSAE2023OCTOT!$F$2:$AQ$60,27,FALSE)</f>
        <v>0</v>
      </c>
      <c r="AT55" s="117">
        <f>VLOOKUP(base!A55,PSYSAE2023OCTOT!$F$2:$AQ$60,28,FALSE)</f>
        <v>0</v>
      </c>
      <c r="AU55" s="117">
        <f>VLOOKUP(base!A55,PSYSAE2023OCTOT!$F$2:$AQ$60,29,FALSE)</f>
        <v>0</v>
      </c>
      <c r="AV55" s="117">
        <f>VLOOKUP(base!A55,PSYSAE2023OCTOT!$F$2:$AQ$60,30,FALSE)</f>
        <v>0</v>
      </c>
      <c r="AW55" s="117">
        <f>VLOOKUP(base!A55,PSYSAE2023OCTOT!$F$2:$AQ$60,31,FALSE)</f>
        <v>0</v>
      </c>
      <c r="AX55" s="117">
        <f>VLOOKUP(base!A55,PSYSAE2023OCTOT!$F$2:$AQ$60,32,FALSE)</f>
        <v>0</v>
      </c>
      <c r="AY55" s="117">
        <f>VLOOKUP(base!A55,PSYSAE2023OCTOT!$F$2:$AQ$60,33,FALSE)</f>
        <v>0</v>
      </c>
      <c r="AZ55" s="117">
        <f>VLOOKUP(base!A55,PSYSAE2023OCTOT!$F$2:$AQ$60,34,FALSE)</f>
        <v>0</v>
      </c>
      <c r="BA55" s="117">
        <f>VLOOKUP(base!A55,PSYSAE2023OCTOT!$F$2:$AQ$60,35,FALSE)</f>
        <v>0</v>
      </c>
      <c r="BB55" s="117">
        <f>VLOOKUP(base!A55,PSYSAE2023OCTOT!$F$2:$AQ$60,36,FALSE)</f>
        <v>0</v>
      </c>
      <c r="BC55" s="223">
        <f>PSYSAE2023OCTOT!AP51</f>
        <v>306</v>
      </c>
      <c r="BD55" s="223">
        <f>PSYSAE2023OCTOT!AQ51</f>
        <v>0</v>
      </c>
      <c r="BE55" s="268">
        <f t="shared" si="8"/>
        <v>306</v>
      </c>
      <c r="BF55" s="61">
        <f>H55/((I55+J55+K55+L55+M55+N55)+($BF$1*(AG55+AH55+AI55))+($BF$2*(AS55+AT55+AU55)))</f>
        <v>7750.395348837209</v>
      </c>
      <c r="BG55" s="124">
        <f>$BF$1*BF55</f>
        <v>6975.355813953488</v>
      </c>
      <c r="BH55" s="124">
        <f t="shared" si="9"/>
        <v>3153.2430391844537</v>
      </c>
      <c r="BI55" s="116">
        <f t="shared" si="10"/>
        <v>0</v>
      </c>
      <c r="BJ55" s="116">
        <f t="shared" si="11"/>
        <v>330113.75696081552</v>
      </c>
      <c r="BK55" s="105">
        <f t="shared" si="12"/>
        <v>0.99053838802166283</v>
      </c>
      <c r="BL55" s="105">
        <f t="shared" si="13"/>
        <v>9.4616119783371699E-3</v>
      </c>
      <c r="BM55" s="272">
        <f t="shared" si="14"/>
        <v>1089.1078431372548</v>
      </c>
      <c r="BN55" s="116">
        <f t="shared" si="15"/>
        <v>1089.1078431372548</v>
      </c>
    </row>
    <row r="56" spans="1:66" x14ac:dyDescent="0.25">
      <c r="A56" s="76">
        <v>660780198</v>
      </c>
      <c r="B56" s="75" t="str">
        <f>VLOOKUP(base!A56,scansanté2024!$B$12:$L$69,2,FALSE)</f>
        <v>CHS DE THUIR</v>
      </c>
      <c r="C56" s="75" t="str">
        <f>VLOOKUP(base!A56,dotpop24!$B$8:$U$67,3,FALSE)</f>
        <v>EPS</v>
      </c>
      <c r="D56" s="61">
        <f>VLOOKUP(base!A56,scansanté2024!$B$12:$L$69,4,FALSE)</f>
        <v>93972</v>
      </c>
      <c r="E56" s="118">
        <f>VLOOKUP(base!A56,scansanté2024!$B$12:$L$69,7,FALSE)</f>
        <v>3948</v>
      </c>
      <c r="F56" s="118">
        <f>VLOOKUP(base!A56,scansanté2024!$B$12:$L$69,8,FALSE)</f>
        <v>169166</v>
      </c>
      <c r="G56" s="118">
        <f>VLOOKUP(base!A56,scansanté2024!$B$12:$L$69,11,FALSE)</f>
        <v>16981</v>
      </c>
      <c r="H56" s="118">
        <f>VLOOKUP(base!A56,dotpop24!$B$8:$U$67,20,FALSE)</f>
        <v>56056815</v>
      </c>
      <c r="I56" s="117">
        <f>VLOOKUP(base!A56,PSYSAE2023OCTOT!$F$2:$AQ$60,7,FALSE)</f>
        <v>217</v>
      </c>
      <c r="J56" s="117">
        <f>VLOOKUP(base!A56,PSYSAE2023OCTOT!$F$2:$AQ$60,8,FALSE)</f>
        <v>16</v>
      </c>
      <c r="K56" s="117">
        <f>VLOOKUP(base!A56,PSYSAE2023OCTOT!$F$2:$AQ$60,9,FALSE)</f>
        <v>14</v>
      </c>
      <c r="L56" s="117">
        <f>VLOOKUP(base!A56,PSYSAE2023OCTOT!$F$2:$AQ$60,10,FALSE)</f>
        <v>10</v>
      </c>
      <c r="M56" s="117">
        <f>VLOOKUP(base!A56,PSYSAE2023OCTOT!$F$2:$AQ$60,11,FALSE)</f>
        <v>10</v>
      </c>
      <c r="N56" s="117">
        <f>VLOOKUP(base!A56,PSYSAE2023OCTOT!$F$2:$AQ$60,12,FALSE)</f>
        <v>0</v>
      </c>
      <c r="O56" s="117">
        <f>VLOOKUP(base!A56,PSYSAE2023OCTOT!$F$2:$AQ$60,18,FALSE)</f>
        <v>69431</v>
      </c>
      <c r="P56" s="117">
        <f>VLOOKUP(base!A56,PSYSAE2023OCTOT!$F$2:$AQ$60,19,FALSE)</f>
        <v>0</v>
      </c>
      <c r="Q56" s="117">
        <f>VLOOKUP(base!A56,PSYSAE2023OCTOT!$F$2:$AQ$60,20,FALSE)</f>
        <v>2456</v>
      </c>
      <c r="R56" s="117">
        <f>VLOOKUP(base!A56,PSYSAE2023OCTOT!$F$2:$AQ$60,21,FALSE)</f>
        <v>0</v>
      </c>
      <c r="S56" s="117">
        <f>VLOOKUP(base!A56,PSYSAE2023OCTOT!$F$2:$AQ$60,22,FALSE)</f>
        <v>2995</v>
      </c>
      <c r="T56" s="117">
        <f>VLOOKUP(base!A56,PSYSAE2023OCTOT!$F$2:$AQ$60,23,FALSE)</f>
        <v>0</v>
      </c>
      <c r="U56" s="114">
        <f t="shared" si="2"/>
        <v>0.87659869957704695</v>
      </c>
      <c r="V56" s="114">
        <f t="shared" si="3"/>
        <v>0</v>
      </c>
      <c r="W56" s="114">
        <f t="shared" si="4"/>
        <v>0.4806262230919765</v>
      </c>
      <c r="X56" s="114">
        <f t="shared" si="4"/>
        <v>0</v>
      </c>
      <c r="Y56" s="114">
        <f t="shared" si="4"/>
        <v>0.82054794520547947</v>
      </c>
      <c r="Z56" s="114">
        <v>0</v>
      </c>
      <c r="AA56" s="115">
        <f t="shared" si="5"/>
        <v>5.0780821917808217</v>
      </c>
      <c r="AB56" s="115">
        <f t="shared" si="5"/>
        <v>14.4</v>
      </c>
      <c r="AC56" s="115">
        <f t="shared" si="5"/>
        <v>5.8712328767123285</v>
      </c>
      <c r="AD56" s="115">
        <f t="shared" si="5"/>
        <v>9</v>
      </c>
      <c r="AE56" s="115">
        <f t="shared" si="5"/>
        <v>0.79452054794520544</v>
      </c>
      <c r="AF56" s="115">
        <f t="shared" si="19"/>
        <v>0</v>
      </c>
      <c r="AG56" s="61">
        <f>VLOOKUP(base!A56,PSYSAE2023OCTOT!$F$2:$AQ$60,14,FALSE)</f>
        <v>204</v>
      </c>
      <c r="AH56" s="61">
        <f>VLOOKUP(base!A56,PSYSAE2023OCTOT!$F$2:$AQ$60,15,FALSE)</f>
        <v>0</v>
      </c>
      <c r="AI56" s="61">
        <f>VLOOKUP(base!A56,PSYSAE2023OCTOT!$F$2:$AQ$60,16,FALSE)</f>
        <v>0</v>
      </c>
      <c r="AJ56" s="61">
        <f>VLOOKUP(base!A56,PSYSAE2023OCTOT!$F$2:$AQ$60,24,FALSE)</f>
        <v>22498</v>
      </c>
      <c r="AK56" s="61">
        <f>VLOOKUP(base!A56,PSYSAE2023OCTOT!$F$2:$AQ$60,25,FALSE)</f>
        <v>0</v>
      </c>
      <c r="AL56" s="61">
        <f>VLOOKUP(base!A56,PSYSAE2023OCTOT!$F$2:$AQ$60,26,FALSE)</f>
        <v>0</v>
      </c>
      <c r="AM56" s="105">
        <f t="shared" si="6"/>
        <v>0.30214880472737038</v>
      </c>
      <c r="AN56" s="105">
        <v>0</v>
      </c>
      <c r="AO56" s="105">
        <v>0</v>
      </c>
      <c r="AP56" s="61">
        <f t="shared" si="7"/>
        <v>132.16164383561645</v>
      </c>
      <c r="AQ56" s="61">
        <f t="shared" si="7"/>
        <v>0</v>
      </c>
      <c r="AR56" s="61">
        <f t="shared" si="7"/>
        <v>0</v>
      </c>
      <c r="AS56" s="117">
        <f>VLOOKUP(base!A56,PSYSAE2023OCTOT!$F$2:$AQ$60,27,FALSE)</f>
        <v>22</v>
      </c>
      <c r="AT56" s="117">
        <f>VLOOKUP(base!A56,PSYSAE2023OCTOT!$F$2:$AQ$60,28,FALSE)</f>
        <v>15</v>
      </c>
      <c r="AU56" s="117">
        <f>VLOOKUP(base!A56,PSYSAE2023OCTOT!$F$2:$AQ$60,29,FALSE)</f>
        <v>22</v>
      </c>
      <c r="AV56" s="117">
        <f>VLOOKUP(base!A56,PSYSAE2023OCTOT!$F$2:$AQ$60,30,FALSE)</f>
        <v>98972</v>
      </c>
      <c r="AW56" s="117">
        <f>VLOOKUP(base!A56,PSYSAE2023OCTOT!$F$2:$AQ$60,31,FALSE)</f>
        <v>4743</v>
      </c>
      <c r="AX56" s="117">
        <f>VLOOKUP(base!A56,PSYSAE2023OCTOT!$F$2:$AQ$60,32,FALSE)</f>
        <v>4743</v>
      </c>
      <c r="AY56" s="117">
        <f>VLOOKUP(base!A56,PSYSAE2023OCTOT!$F$2:$AQ$60,33,FALSE)</f>
        <v>27903</v>
      </c>
      <c r="AZ56" s="117">
        <f>VLOOKUP(base!A56,PSYSAE2023OCTOT!$F$2:$AQ$60,34,FALSE)</f>
        <v>5606</v>
      </c>
      <c r="BA56" s="117">
        <f>VLOOKUP(base!A56,PSYSAE2023OCTOT!$F$2:$AQ$60,35,FALSE)</f>
        <v>9131</v>
      </c>
      <c r="BB56" s="117">
        <f>VLOOKUP(base!A56,PSYSAE2023OCTOT!$F$2:$AQ$60,36,FALSE)</f>
        <v>426</v>
      </c>
      <c r="BC56" s="223">
        <f>PSYSAE2023OCTOT!AP52</f>
        <v>16713</v>
      </c>
      <c r="BD56" s="223">
        <f>PSYSAE2023OCTOT!AQ52</f>
        <v>14118</v>
      </c>
      <c r="BE56" s="268">
        <f t="shared" si="8"/>
        <v>2595</v>
      </c>
      <c r="BF56" s="61">
        <f>H56/((I56+J56+K56+L56+M56+N56)+($BF$1*(AG56+AH56+AI56))+($BF$2*(AS56+AT56+AU56)))</f>
        <v>120844.65642683912</v>
      </c>
      <c r="BG56" s="124">
        <f>$BF$1*BF56</f>
        <v>108760.19078415522</v>
      </c>
      <c r="BH56" s="124">
        <f t="shared" si="9"/>
        <v>4246944.7405898049</v>
      </c>
      <c r="BI56" s="116">
        <f t="shared" si="10"/>
        <v>14373925.597909216</v>
      </c>
      <c r="BJ56" s="116">
        <f t="shared" si="11"/>
        <v>37435944.661500975</v>
      </c>
      <c r="BK56" s="105">
        <f t="shared" si="12"/>
        <v>0.66782147115388157</v>
      </c>
      <c r="BL56" s="105">
        <f t="shared" si="13"/>
        <v>0.33217852884611843</v>
      </c>
      <c r="BM56" s="272">
        <f t="shared" si="14"/>
        <v>21601.855491329479</v>
      </c>
      <c r="BN56" s="116">
        <f t="shared" si="15"/>
        <v>9712.6101307274475</v>
      </c>
    </row>
    <row r="57" spans="1:66" x14ac:dyDescent="0.25">
      <c r="A57" s="100">
        <v>660780214</v>
      </c>
      <c r="B57" s="101" t="str">
        <f>VLOOKUP(base!A57,scansanté2024!$B$12:$L$69,2,FALSE)</f>
        <v>MAISON DE REPOS SENSEVIA</v>
      </c>
      <c r="C57" s="75" t="str">
        <f>VLOOKUP(base!A57,dotpop24!$B$8:$U$67,3,FALSE)</f>
        <v>EBL</v>
      </c>
      <c r="D57" s="61">
        <f>VLOOKUP(base!A57,scansanté2024!$B$12:$L$69,4,FALSE)</f>
        <v>21204</v>
      </c>
      <c r="E57" s="118">
        <f>VLOOKUP(base!A57,scansanté2024!$B$12:$L$69,7,FALSE)</f>
        <v>319</v>
      </c>
      <c r="F57" s="118">
        <f>VLOOKUP(base!A57,scansanté2024!$B$12:$L$69,8,FALSE)</f>
        <v>0</v>
      </c>
      <c r="G57" s="118">
        <f>VLOOKUP(base!A57,scansanté2024!$B$12:$L$69,11,FALSE)</f>
        <v>220</v>
      </c>
      <c r="H57" s="118">
        <f>VLOOKUP(base!A57,dotpop24!$B$8:$U$67,20,FALSE)</f>
        <v>483787</v>
      </c>
      <c r="I57" s="143">
        <v>65</v>
      </c>
      <c r="J57" s="117">
        <f>VLOOKUP(base!A57,PSYSAE2023OCTOT!$F$2:$AQ$60,8,FALSE)</f>
        <v>0</v>
      </c>
      <c r="K57" s="117">
        <f>VLOOKUP(base!A57,PSYSAE2023OCTOT!$F$2:$AQ$60,9,FALSE)</f>
        <v>0</v>
      </c>
      <c r="L57" s="117">
        <f>VLOOKUP(base!A57,PSYSAE2023OCTOT!$F$2:$AQ$60,10,FALSE)</f>
        <v>0</v>
      </c>
      <c r="M57" s="117">
        <f>VLOOKUP(base!A57,PSYSAE2023OCTOT!$F$2:$AQ$60,11,FALSE)</f>
        <v>0</v>
      </c>
      <c r="N57" s="117">
        <f>VLOOKUP(base!A57,PSYSAE2023OCTOT!$F$2:$AQ$60,12,FALSE)</f>
        <v>0</v>
      </c>
      <c r="O57" s="26">
        <f>D57</f>
        <v>21204</v>
      </c>
      <c r="P57" s="117">
        <f>VLOOKUP(base!A57,PSYSAE2023OCTOT!$F$2:$AQ$60,19,FALSE)</f>
        <v>0</v>
      </c>
      <c r="Q57" s="117">
        <f>VLOOKUP(base!A57,PSYSAE2023OCTOT!$F$2:$AQ$60,20,FALSE)</f>
        <v>0</v>
      </c>
      <c r="R57" s="117">
        <f>VLOOKUP(base!A57,PSYSAE2023OCTOT!$F$2:$AQ$60,21,FALSE)</f>
        <v>0</v>
      </c>
      <c r="S57" s="117">
        <f>VLOOKUP(base!A57,PSYSAE2023OCTOT!$F$2:$AQ$60,22,FALSE)</f>
        <v>0</v>
      </c>
      <c r="T57" s="117">
        <f>VLOOKUP(base!A57,PSYSAE2023OCTOT!$F$2:$AQ$60,23,FALSE)</f>
        <v>0</v>
      </c>
      <c r="U57" s="114">
        <f t="shared" si="2"/>
        <v>0.89374077976817701</v>
      </c>
      <c r="V57" s="114">
        <v>0</v>
      </c>
      <c r="W57" s="114">
        <v>0</v>
      </c>
      <c r="X57" s="114">
        <v>0</v>
      </c>
      <c r="Y57" s="114">
        <v>0</v>
      </c>
      <c r="Z57" s="114">
        <v>0</v>
      </c>
      <c r="AA57" s="115">
        <f t="shared" si="5"/>
        <v>0.40684931506849314</v>
      </c>
      <c r="AB57" s="115">
        <f t="shared" si="5"/>
        <v>0</v>
      </c>
      <c r="AC57" s="115">
        <f t="shared" si="5"/>
        <v>0</v>
      </c>
      <c r="AD57" s="115">
        <f t="shared" si="5"/>
        <v>0</v>
      </c>
      <c r="AE57" s="115">
        <f t="shared" si="5"/>
        <v>0</v>
      </c>
      <c r="AF57" s="115">
        <f t="shared" si="19"/>
        <v>0</v>
      </c>
      <c r="AG57" s="144">
        <v>0</v>
      </c>
      <c r="AH57" s="61">
        <f>VLOOKUP(base!A57,PSYSAE2023OCTOT!$F$2:$AQ$60,15,FALSE)</f>
        <v>0</v>
      </c>
      <c r="AI57" s="61">
        <f>VLOOKUP(base!A57,PSYSAE2023OCTOT!$F$2:$AQ$60,16,FALSE)</f>
        <v>0</v>
      </c>
      <c r="AJ57" s="61">
        <f>VLOOKUP(base!A57,PSYSAE2023OCTOT!$F$2:$AQ$60,24,FALSE)</f>
        <v>0</v>
      </c>
      <c r="AK57" s="61">
        <f>VLOOKUP(base!A57,PSYSAE2023OCTOT!$F$2:$AQ$60,25,FALSE)</f>
        <v>0</v>
      </c>
      <c r="AL57" s="61">
        <f>VLOOKUP(base!A57,PSYSAE2023OCTOT!$F$2:$AQ$60,26,FALSE)</f>
        <v>0</v>
      </c>
      <c r="AM57" s="105">
        <v>0</v>
      </c>
      <c r="AN57" s="105">
        <v>0</v>
      </c>
      <c r="AO57" s="105">
        <v>0</v>
      </c>
      <c r="AP57" s="61">
        <f t="shared" si="7"/>
        <v>0</v>
      </c>
      <c r="AQ57" s="61">
        <f t="shared" si="7"/>
        <v>0</v>
      </c>
      <c r="AR57" s="61">
        <f t="shared" si="7"/>
        <v>0</v>
      </c>
      <c r="AS57" s="117">
        <f>VLOOKUP(base!A57,PSYSAE2023OCTOT!$F$2:$AQ$60,27,FALSE)</f>
        <v>0</v>
      </c>
      <c r="AT57" s="117">
        <f>VLOOKUP(base!A57,PSYSAE2023OCTOT!$F$2:$AQ$60,28,FALSE)</f>
        <v>0</v>
      </c>
      <c r="AU57" s="117">
        <f>VLOOKUP(base!A57,PSYSAE2023OCTOT!$F$2:$AQ$60,29,FALSE)</f>
        <v>0</v>
      </c>
      <c r="AV57" s="117">
        <f>VLOOKUP(base!A57,PSYSAE2023OCTOT!$F$2:$AQ$60,30,FALSE)</f>
        <v>0</v>
      </c>
      <c r="AW57" s="117">
        <f>VLOOKUP(base!A57,PSYSAE2023OCTOT!$F$2:$AQ$60,31,FALSE)</f>
        <v>0</v>
      </c>
      <c r="AX57" s="117">
        <f>VLOOKUP(base!A57,PSYSAE2023OCTOT!$F$2:$AQ$60,32,FALSE)</f>
        <v>0</v>
      </c>
      <c r="AY57" s="117">
        <f>VLOOKUP(base!A57,PSYSAE2023OCTOT!$F$2:$AQ$60,33,FALSE)</f>
        <v>0</v>
      </c>
      <c r="AZ57" s="117">
        <f>VLOOKUP(base!A57,PSYSAE2023OCTOT!$F$2:$AQ$60,34,FALSE)</f>
        <v>0</v>
      </c>
      <c r="BA57" s="117">
        <f>VLOOKUP(base!A57,PSYSAE2023OCTOT!$F$2:$AQ$60,35,FALSE)</f>
        <v>0</v>
      </c>
      <c r="BB57" s="117">
        <f>VLOOKUP(base!A57,PSYSAE2023OCTOT!$F$2:$AQ$60,36,FALSE)</f>
        <v>0</v>
      </c>
      <c r="BC57" s="223">
        <f>PSYSAE2023OCTOT!AP53</f>
        <v>0</v>
      </c>
      <c r="BD57" s="223">
        <f>PSYSAE2023OCTOT!AQ53</f>
        <v>0</v>
      </c>
      <c r="BE57" s="268">
        <f t="shared" si="8"/>
        <v>0</v>
      </c>
      <c r="BF57" s="61">
        <f>H57/((I57+J57+K57+L57+M57+N57)+($BF$1*(AG57+AH57+AI57))+($BF$2*(AS57+AT57+AU57)))</f>
        <v>7442.876923076923</v>
      </c>
      <c r="BG57" s="124">
        <f>$BF$1*BF57</f>
        <v>6698.5892307692311</v>
      </c>
      <c r="BH57" s="124">
        <f t="shared" si="9"/>
        <v>3028.1293782929397</v>
      </c>
      <c r="BI57" s="116">
        <f t="shared" si="10"/>
        <v>0</v>
      </c>
      <c r="BJ57" s="116">
        <f t="shared" si="11"/>
        <v>480758.87062170706</v>
      </c>
      <c r="BK57" s="105">
        <f t="shared" si="12"/>
        <v>0.99374077976817698</v>
      </c>
      <c r="BL57" s="105">
        <f t="shared" si="13"/>
        <v>6.259220231823015E-3</v>
      </c>
      <c r="BM57" s="272" t="e">
        <f t="shared" si="14"/>
        <v>#DIV/0!</v>
      </c>
      <c r="BN57" s="116" t="e">
        <f t="shared" si="15"/>
        <v>#DIV/0!</v>
      </c>
    </row>
    <row r="58" spans="1:66" x14ac:dyDescent="0.25">
      <c r="A58" s="76">
        <v>660780248</v>
      </c>
      <c r="B58" s="75" t="str">
        <f>VLOOKUP(base!A58,scansanté2024!$B$12:$L$69,2,FALSE)</f>
        <v>CLINIQUE DU PRE</v>
      </c>
      <c r="C58" s="75" t="str">
        <f>VLOOKUP(base!A58,dotpop24!$B$8:$U$67,3,FALSE)</f>
        <v>EBL</v>
      </c>
      <c r="D58" s="61">
        <f>VLOOKUP(base!A58,scansanté2024!$B$12:$L$69,4,FALSE)</f>
        <v>50125</v>
      </c>
      <c r="E58" s="118">
        <f>VLOOKUP(base!A58,scansanté2024!$B$12:$L$69,7,FALSE)</f>
        <v>2004</v>
      </c>
      <c r="F58" s="118">
        <f>VLOOKUP(base!A58,scansanté2024!$B$12:$L$69,8,FALSE)</f>
        <v>0</v>
      </c>
      <c r="G58" s="118">
        <f>VLOOKUP(base!A58,scansanté2024!$B$12:$L$69,11,FALSE)</f>
        <v>1317</v>
      </c>
      <c r="H58" s="118">
        <f>VLOOKUP(base!A58,dotpop24!$B$8:$U$67,20,FALSE)</f>
        <v>902515</v>
      </c>
      <c r="I58" s="117">
        <f>VLOOKUP(base!A58,PSYSAE2023OCTOT!$F$2:$AQ$60,7,FALSE)</f>
        <v>127</v>
      </c>
      <c r="J58" s="117">
        <v>0</v>
      </c>
      <c r="K58" s="117">
        <v>0</v>
      </c>
      <c r="L58" s="117">
        <v>0</v>
      </c>
      <c r="M58" s="117">
        <v>0</v>
      </c>
      <c r="N58" s="117">
        <v>0</v>
      </c>
      <c r="O58" s="117">
        <f>VLOOKUP(base!A58,PSYSAE2023OCTOT!$F$2:$AQ$60,18,FALSE)</f>
        <v>43212</v>
      </c>
      <c r="P58" s="117">
        <v>0</v>
      </c>
      <c r="Q58" s="117">
        <v>0</v>
      </c>
      <c r="R58" s="117">
        <v>0</v>
      </c>
      <c r="S58" s="117">
        <v>0</v>
      </c>
      <c r="T58" s="117">
        <v>0</v>
      </c>
      <c r="U58" s="114">
        <f t="shared" si="2"/>
        <v>0.93219717398338908</v>
      </c>
      <c r="V58" s="114">
        <v>0</v>
      </c>
      <c r="W58" s="114">
        <v>0</v>
      </c>
      <c r="X58" s="114">
        <v>0</v>
      </c>
      <c r="Y58" s="114">
        <v>0</v>
      </c>
      <c r="Z58" s="114">
        <v>0</v>
      </c>
      <c r="AA58" s="115">
        <f t="shared" si="5"/>
        <v>0</v>
      </c>
      <c r="AB58" s="115">
        <f t="shared" si="5"/>
        <v>0</v>
      </c>
      <c r="AC58" s="115">
        <f t="shared" si="5"/>
        <v>0</v>
      </c>
      <c r="AD58" s="115">
        <f t="shared" si="5"/>
        <v>0</v>
      </c>
      <c r="AE58" s="115">
        <f t="shared" si="5"/>
        <v>0</v>
      </c>
      <c r="AF58" s="115">
        <f t="shared" si="19"/>
        <v>0</v>
      </c>
      <c r="AG58" s="61">
        <f>VLOOKUP(base!A58,PSYSAE2023OCTOT!$F$2:$AQ$60,14,FALSE)</f>
        <v>20</v>
      </c>
      <c r="AH58" s="61">
        <v>0</v>
      </c>
      <c r="AI58" s="61">
        <v>0</v>
      </c>
      <c r="AJ58" s="61">
        <f>VLOOKUP(base!A58,PSYSAE2023OCTOT!$F$2:$AQ$60,24,FALSE)</f>
        <v>15073</v>
      </c>
      <c r="AK58" s="61">
        <v>0</v>
      </c>
      <c r="AL58" s="61">
        <v>0</v>
      </c>
      <c r="AM58" s="105">
        <f t="shared" si="6"/>
        <v>2.0647945205479452</v>
      </c>
      <c r="AN58" s="105">
        <v>0</v>
      </c>
      <c r="AO58" s="105">
        <v>0</v>
      </c>
      <c r="AP58" s="61">
        <f t="shared" si="7"/>
        <v>0</v>
      </c>
      <c r="AQ58" s="61">
        <f t="shared" si="7"/>
        <v>0</v>
      </c>
      <c r="AR58" s="61">
        <f t="shared" si="7"/>
        <v>0</v>
      </c>
      <c r="AS58" s="117">
        <v>0</v>
      </c>
      <c r="AT58" s="117">
        <v>0</v>
      </c>
      <c r="AU58" s="117">
        <v>0</v>
      </c>
      <c r="AV58" s="117">
        <v>0</v>
      </c>
      <c r="AW58" s="117">
        <v>0</v>
      </c>
      <c r="AX58" s="117">
        <v>0</v>
      </c>
      <c r="AY58" s="117">
        <v>0</v>
      </c>
      <c r="AZ58" s="117">
        <v>0</v>
      </c>
      <c r="BA58" s="117">
        <v>0</v>
      </c>
      <c r="BB58" s="117">
        <v>0</v>
      </c>
      <c r="BC58" s="223">
        <f>PSYSAE2023OCTOT!AP54</f>
        <v>1014</v>
      </c>
      <c r="BD58" s="223"/>
      <c r="BE58" s="268">
        <f t="shared" si="8"/>
        <v>1014</v>
      </c>
      <c r="BF58" s="61">
        <f>H58/((I58+J58+K58+L58+M58+N58)+($BF$1*(AG58+AH58+AI58))+($BF$2*(AS58+AT58+AU58)))</f>
        <v>6224.2413793103451</v>
      </c>
      <c r="BG58" s="124">
        <f>$BF$1*BF58</f>
        <v>5601.8172413793109</v>
      </c>
      <c r="BH58" s="124">
        <f t="shared" si="9"/>
        <v>0</v>
      </c>
      <c r="BI58" s="116">
        <f t="shared" si="10"/>
        <v>0</v>
      </c>
      <c r="BJ58" s="116">
        <f t="shared" si="11"/>
        <v>902515</v>
      </c>
      <c r="BK58" s="105">
        <f t="shared" si="12"/>
        <v>1</v>
      </c>
      <c r="BL58" s="105">
        <f t="shared" si="13"/>
        <v>0</v>
      </c>
      <c r="BM58" s="272">
        <f t="shared" si="14"/>
        <v>890.05424063116368</v>
      </c>
      <c r="BN58" s="116">
        <f t="shared" si="15"/>
        <v>890.05424063116368</v>
      </c>
    </row>
    <row r="59" spans="1:66" x14ac:dyDescent="0.25">
      <c r="A59" s="76">
        <v>660780735</v>
      </c>
      <c r="B59" s="75" t="str">
        <f>VLOOKUP(base!A59,scansanté2024!$B$12:$L$69,2,FALSE)</f>
        <v>CLINIQUE DU ROUSSILLON</v>
      </c>
      <c r="C59" s="75" t="str">
        <f>VLOOKUP(base!A59,dotpop24!$B$8:$U$67,3,FALSE)</f>
        <v>EBL</v>
      </c>
      <c r="D59" s="61">
        <f>VLOOKUP(base!A59,scansanté2024!$B$12:$L$69,4,FALSE)</f>
        <v>36009</v>
      </c>
      <c r="E59" s="118">
        <f>VLOOKUP(base!A59,scansanté2024!$B$12:$L$69,7,FALSE)</f>
        <v>818</v>
      </c>
      <c r="F59" s="118">
        <f>VLOOKUP(base!A59,scansanté2024!$B$12:$L$69,8,FALSE)</f>
        <v>0</v>
      </c>
      <c r="G59" s="118">
        <f>VLOOKUP(base!A59,scansanté2024!$B$12:$L$69,11,FALSE)</f>
        <v>660</v>
      </c>
      <c r="H59" s="118">
        <f>VLOOKUP(base!A59,dotpop24!$B$8:$U$67,20,FALSE)</f>
        <v>773092</v>
      </c>
      <c r="I59" s="117">
        <f>VLOOKUP(base!A59,PSYSAE2023OCTOT!$F$2:$AQ$60,7,FALSE)</f>
        <v>84</v>
      </c>
      <c r="J59" s="117">
        <v>0</v>
      </c>
      <c r="K59" s="117">
        <v>0</v>
      </c>
      <c r="L59" s="117">
        <f>VLOOKUP(base!A59,PSYSAE2023OCTOT!$F$2:$AQ$60,10,FALSE)</f>
        <v>60</v>
      </c>
      <c r="M59" s="117">
        <v>0</v>
      </c>
      <c r="N59" s="117">
        <v>0</v>
      </c>
      <c r="O59" s="117">
        <f>VLOOKUP(base!A59,PSYSAE2023OCTOT!$F$2:$AQ$60,18,FALSE)</f>
        <v>30632</v>
      </c>
      <c r="P59" s="117">
        <v>0</v>
      </c>
      <c r="Q59" s="117">
        <v>0</v>
      </c>
      <c r="R59" s="117">
        <f>VLOOKUP(base!A59,PSYSAE2023OCTOT!$F$2:$AQ$60,21,FALSE)</f>
        <v>20470</v>
      </c>
      <c r="S59" s="117">
        <v>0</v>
      </c>
      <c r="T59" s="117">
        <v>0</v>
      </c>
      <c r="U59" s="114">
        <f t="shared" si="2"/>
        <v>0.99908675799086755</v>
      </c>
      <c r="V59" s="114">
        <v>0</v>
      </c>
      <c r="W59" s="114">
        <v>0</v>
      </c>
      <c r="X59" s="114">
        <f t="shared" si="4"/>
        <v>0.93470319634703192</v>
      </c>
      <c r="Y59" s="114">
        <v>0</v>
      </c>
      <c r="Z59" s="114">
        <v>0</v>
      </c>
      <c r="AA59" s="115">
        <f t="shared" si="5"/>
        <v>0</v>
      </c>
      <c r="AB59" s="115">
        <f t="shared" si="5"/>
        <v>0</v>
      </c>
      <c r="AC59" s="115">
        <f t="shared" si="5"/>
        <v>0</v>
      </c>
      <c r="AD59" s="115">
        <f t="shared" si="5"/>
        <v>0</v>
      </c>
      <c r="AE59" s="115">
        <f t="shared" si="5"/>
        <v>0</v>
      </c>
      <c r="AF59" s="115">
        <f t="shared" si="19"/>
        <v>0</v>
      </c>
      <c r="AG59" s="61">
        <f>VLOOKUP(base!A59,PSYSAE2023OCTOT!$F$2:$AQ$60,14,FALSE)</f>
        <v>28</v>
      </c>
      <c r="AH59" s="61">
        <v>0</v>
      </c>
      <c r="AI59" s="61">
        <v>0</v>
      </c>
      <c r="AJ59" s="61">
        <f>VLOOKUP(base!A59,PSYSAE2023OCTOT!$F$2:$AQ$60,24,FALSE)</f>
        <v>5328</v>
      </c>
      <c r="AK59" s="61">
        <v>0</v>
      </c>
      <c r="AL59" s="61">
        <v>0</v>
      </c>
      <c r="AM59" s="105">
        <f t="shared" si="6"/>
        <v>0.52133072407045011</v>
      </c>
      <c r="AN59" s="105">
        <v>0</v>
      </c>
      <c r="AO59" s="105">
        <v>0</v>
      </c>
      <c r="AP59" s="61">
        <f t="shared" si="7"/>
        <v>12.002739726027396</v>
      </c>
      <c r="AQ59" s="61">
        <f t="shared" si="7"/>
        <v>0</v>
      </c>
      <c r="AR59" s="61">
        <f t="shared" si="7"/>
        <v>0</v>
      </c>
      <c r="AS59" s="117">
        <v>0</v>
      </c>
      <c r="AT59" s="117">
        <v>0</v>
      </c>
      <c r="AU59" s="117">
        <v>0</v>
      </c>
      <c r="AV59" s="117">
        <v>0</v>
      </c>
      <c r="AW59" s="117">
        <v>0</v>
      </c>
      <c r="AX59" s="117">
        <v>0</v>
      </c>
      <c r="AY59" s="117">
        <v>0</v>
      </c>
      <c r="AZ59" s="117">
        <v>0</v>
      </c>
      <c r="BA59" s="117">
        <v>0</v>
      </c>
      <c r="BB59" s="117">
        <v>0</v>
      </c>
      <c r="BC59" s="223">
        <f>PSYSAE2023OCTOT!AP55</f>
        <v>858</v>
      </c>
      <c r="BD59" s="223"/>
      <c r="BE59" s="268">
        <f t="shared" si="8"/>
        <v>858</v>
      </c>
      <c r="BF59" s="61">
        <f>H59/((I59+J59+K59+L59+M59+N59)+($BF$1*(AG59+AH59+AI59))+($BF$2*(AS59+AT59+AU59)))</f>
        <v>4569.1016548463358</v>
      </c>
      <c r="BG59" s="124">
        <f>$BF$1*BF59</f>
        <v>4112.1914893617022</v>
      </c>
      <c r="BH59" s="124">
        <f t="shared" si="9"/>
        <v>0</v>
      </c>
      <c r="BI59" s="116">
        <f t="shared" si="10"/>
        <v>49357.564150393468</v>
      </c>
      <c r="BJ59" s="116">
        <f t="shared" si="11"/>
        <v>723734.43584960653</v>
      </c>
      <c r="BK59" s="105">
        <f t="shared" si="12"/>
        <v>0.93615563975517346</v>
      </c>
      <c r="BL59" s="105">
        <f t="shared" si="13"/>
        <v>6.3844360244826537E-2</v>
      </c>
      <c r="BM59" s="272">
        <f t="shared" si="14"/>
        <v>901.03962703962702</v>
      </c>
      <c r="BN59" s="116">
        <f t="shared" si="15"/>
        <v>901.03962703962702</v>
      </c>
    </row>
    <row r="60" spans="1:66" x14ac:dyDescent="0.25">
      <c r="A60" s="76">
        <v>810000455</v>
      </c>
      <c r="B60" s="75" t="str">
        <f>VLOOKUP(base!A60,scansanté2024!$B$12:$L$69,2,FALSE)</f>
        <v>CH LAVAUR</v>
      </c>
      <c r="C60" s="75" t="str">
        <f>VLOOKUP(base!A60,dotpop24!$B$8:$U$67,3,FALSE)</f>
        <v>EPS</v>
      </c>
      <c r="D60" s="61">
        <f>VLOOKUP(base!A60,scansanté2024!$B$12:$L$69,4,FALSE)</f>
        <v>48375</v>
      </c>
      <c r="E60" s="118">
        <f>VLOOKUP(base!A60,scansanté2024!$B$12:$L$69,7,FALSE)</f>
        <v>2528</v>
      </c>
      <c r="F60" s="118">
        <f>VLOOKUP(base!A60,scansanté2024!$B$12:$L$69,8,FALSE)</f>
        <v>54941</v>
      </c>
      <c r="G60" s="118">
        <f>VLOOKUP(base!A60,scansanté2024!$B$12:$L$69,11,FALSE)</f>
        <v>5468</v>
      </c>
      <c r="H60" s="118">
        <f>VLOOKUP(base!A60,dotpop24!$B$8:$U$67,20,FALSE)</f>
        <v>22155694</v>
      </c>
      <c r="I60" s="117">
        <f>VLOOKUP(base!A60,PSYSAE2023OCTOT!$F$2:$AQ$60,7,FALSE)</f>
        <v>123</v>
      </c>
      <c r="J60" s="117">
        <v>0</v>
      </c>
      <c r="K60" s="117">
        <v>0</v>
      </c>
      <c r="L60" s="117">
        <v>0</v>
      </c>
      <c r="M60" s="117">
        <f>VLOOKUP(base!A60,PSYSAE2023OCTOT!$F$2:$AQ$60,11,FALSE)</f>
        <v>0</v>
      </c>
      <c r="N60" s="117">
        <v>0</v>
      </c>
      <c r="O60" s="117">
        <f>VLOOKUP(base!A60,PSYSAE2023OCTOT!$F$2:$AQ$60,18,FALSE)</f>
        <v>33426</v>
      </c>
      <c r="P60" s="117">
        <f>VLOOKUP(base!A60,PSYSAE2023OCTOT!$F$2:$AQ$60,19,FALSE)</f>
        <v>0</v>
      </c>
      <c r="Q60" s="117">
        <f>VLOOKUP(base!A60,PSYSAE2023OCTOT!$F$2:$AQ$60,20,FALSE)</f>
        <v>0</v>
      </c>
      <c r="R60" s="117">
        <f>VLOOKUP(base!A60,PSYSAE2023OCTOT!$F$2:$AQ$60,21,FALSE)</f>
        <v>0</v>
      </c>
      <c r="S60" s="117">
        <f>VLOOKUP(base!A60,PSYSAE2023OCTOT!$F$2:$AQ$60,22,FALSE)</f>
        <v>17</v>
      </c>
      <c r="T60" s="117">
        <f>VLOOKUP(base!A60,PSYSAE2023OCTOT!$F$2:$AQ$60,23,FALSE)</f>
        <v>0</v>
      </c>
      <c r="U60" s="114">
        <f t="shared" si="2"/>
        <v>0.74453725359171397</v>
      </c>
      <c r="V60" s="114">
        <v>0</v>
      </c>
      <c r="W60" s="114">
        <v>0</v>
      </c>
      <c r="X60" s="114">
        <v>0</v>
      </c>
      <c r="Y60" s="114">
        <v>0</v>
      </c>
      <c r="Z60" s="114">
        <v>0</v>
      </c>
      <c r="AA60" s="115">
        <f t="shared" si="5"/>
        <v>19.121917808219177</v>
      </c>
      <c r="AB60" s="115">
        <f t="shared" si="5"/>
        <v>0</v>
      </c>
      <c r="AC60" s="115">
        <f t="shared" si="5"/>
        <v>0</v>
      </c>
      <c r="AD60" s="115">
        <f t="shared" si="5"/>
        <v>0</v>
      </c>
      <c r="AE60" s="115">
        <f t="shared" si="5"/>
        <v>0</v>
      </c>
      <c r="AF60" s="115">
        <f t="shared" si="19"/>
        <v>0</v>
      </c>
      <c r="AG60" s="61">
        <f>VLOOKUP(base!A60,PSYSAE2023OCTOT!$F$2:$AQ$60,14,FALSE)</f>
        <v>94</v>
      </c>
      <c r="AH60" s="61">
        <f>VLOOKUP(base!A60,PSYSAE2023OCTOT!$F$2:$AQ$60,15,FALSE)</f>
        <v>9</v>
      </c>
      <c r="AI60" s="61">
        <f>VLOOKUP(base!A60,PSYSAE2023OCTOT!$F$2:$AQ$60,16,FALSE)</f>
        <v>10</v>
      </c>
      <c r="AJ60" s="61">
        <f>VLOOKUP(base!A60,PSYSAE2023OCTOT!$F$2:$AQ$60,24,FALSE)</f>
        <v>14266</v>
      </c>
      <c r="AK60" s="61">
        <f>VLOOKUP(base!A60,PSYSAE2023OCTOT!$F$2:$AQ$60,25,FALSE)</f>
        <v>77</v>
      </c>
      <c r="AL60" s="61">
        <f>VLOOKUP(base!A60,PSYSAE2023OCTOT!$F$2:$AQ$60,26,FALSE)</f>
        <v>3097</v>
      </c>
      <c r="AM60" s="105">
        <f t="shared" si="6"/>
        <v>0.41579714368988635</v>
      </c>
      <c r="AN60" s="105">
        <f t="shared" si="16"/>
        <v>2.3439878234398782E-2</v>
      </c>
      <c r="AO60" s="105">
        <f t="shared" si="17"/>
        <v>0.84849315068493147</v>
      </c>
      <c r="AP60" s="61">
        <f t="shared" si="7"/>
        <v>50.215068493150682</v>
      </c>
      <c r="AQ60" s="61">
        <f t="shared" si="7"/>
        <v>8.3390410958904102</v>
      </c>
      <c r="AR60" s="61">
        <f t="shared" si="7"/>
        <v>1.015068493150685</v>
      </c>
      <c r="AS60" s="117">
        <f>VLOOKUP(base!A60,PSYSAE2023OCTOT!$F$2:$AQ$60,27,FALSE)</f>
        <v>8</v>
      </c>
      <c r="AT60" s="117">
        <f>VLOOKUP(base!A60,PSYSAE2023OCTOT!$F$2:$AQ$60,28,FALSE)</f>
        <v>8</v>
      </c>
      <c r="AU60" s="117">
        <f>VLOOKUP(base!A60,PSYSAE2023OCTOT!$F$2:$AQ$60,29,FALSE)</f>
        <v>9</v>
      </c>
      <c r="AV60" s="117">
        <f>VLOOKUP(base!A60,PSYSAE2023OCTOT!$F$2:$AQ$60,30,FALSE)</f>
        <v>30283</v>
      </c>
      <c r="AW60" s="117">
        <f>VLOOKUP(base!A60,PSYSAE2023OCTOT!$F$2:$AQ$60,31,FALSE)</f>
        <v>510</v>
      </c>
      <c r="AX60" s="117">
        <f>VLOOKUP(base!A60,PSYSAE2023OCTOT!$F$2:$AQ$60,32,FALSE)</f>
        <v>9</v>
      </c>
      <c r="AY60" s="117">
        <f>VLOOKUP(base!A60,PSYSAE2023OCTOT!$F$2:$AQ$60,33,FALSE)</f>
        <v>9080</v>
      </c>
      <c r="AZ60" s="117">
        <f>VLOOKUP(base!A60,PSYSAE2023OCTOT!$F$2:$AQ$60,34,FALSE)</f>
        <v>105</v>
      </c>
      <c r="BA60" s="117">
        <f>VLOOKUP(base!A60,PSYSAE2023OCTOT!$F$2:$AQ$60,35,FALSE)</f>
        <v>2114</v>
      </c>
      <c r="BB60" s="117">
        <f>VLOOKUP(base!A60,PSYSAE2023OCTOT!$F$2:$AQ$60,36,FALSE)</f>
        <v>307</v>
      </c>
      <c r="BC60" s="223">
        <f>PSYSAE2023OCTOT!AP56</f>
        <v>5139</v>
      </c>
      <c r="BD60" s="223">
        <f>PSYSAE2023OCTOT!AQ56</f>
        <v>4217</v>
      </c>
      <c r="BE60" s="268">
        <f t="shared" si="8"/>
        <v>922</v>
      </c>
      <c r="BF60" s="61">
        <f>H60/((I60+J60+K60+L60+M60+N60)+($BF$1*(AG60+AH60+AI60))+($BF$2*(AS60+AT60+AU60)))</f>
        <v>96193.179203299689</v>
      </c>
      <c r="BG60" s="124">
        <f>$BF$1*BF60</f>
        <v>86573.861282969723</v>
      </c>
      <c r="BH60" s="124">
        <f t="shared" si="9"/>
        <v>1839398.0664367948</v>
      </c>
      <c r="BI60" s="116">
        <f t="shared" si="10"/>
        <v>5157133.7600281909</v>
      </c>
      <c r="BJ60" s="116">
        <f t="shared" si="11"/>
        <v>15159162.173535015</v>
      </c>
      <c r="BK60" s="105">
        <f t="shared" si="12"/>
        <v>0.6842106671781536</v>
      </c>
      <c r="BL60" s="105">
        <f t="shared" si="13"/>
        <v>0.3157893328218464</v>
      </c>
      <c r="BM60" s="272">
        <f t="shared" si="14"/>
        <v>24030.036876355749</v>
      </c>
      <c r="BN60" s="116">
        <f t="shared" si="15"/>
        <v>11842.739967661326</v>
      </c>
    </row>
    <row r="61" spans="1:66" x14ac:dyDescent="0.25">
      <c r="A61" s="76">
        <v>810100008</v>
      </c>
      <c r="B61" s="75" t="str">
        <f>VLOOKUP(base!A61,scansanté2024!$B$12:$L$69,2,FALSE)</f>
        <v>CHS PIERRE JAMET</v>
      </c>
      <c r="C61" s="75" t="str">
        <f>VLOOKUP(base!A61,dotpop24!$B$8:$U$67,3,FALSE)</f>
        <v>EBNL</v>
      </c>
      <c r="D61" s="61">
        <f>VLOOKUP(base!A61,scansanté2024!$B$12:$L$69,4,FALSE)</f>
        <v>85433</v>
      </c>
      <c r="E61" s="118">
        <f>VLOOKUP(base!A61,scansanté2024!$B$12:$L$69,7,FALSE)</f>
        <v>2780</v>
      </c>
      <c r="F61" s="118">
        <f>VLOOKUP(base!A61,scansanté2024!$B$12:$L$69,8,FALSE)</f>
        <v>128436</v>
      </c>
      <c r="G61" s="118">
        <f>VLOOKUP(base!A61,scansanté2024!$B$12:$L$69,11,FALSE)</f>
        <v>11152</v>
      </c>
      <c r="H61" s="118">
        <f>VLOOKUP(base!A61,dotpop24!$B$8:$U$67,20,FALSE)</f>
        <v>48915769</v>
      </c>
      <c r="I61" s="117">
        <f>VLOOKUP(base!A61,PSYSAE2023OCTOT!$F$2:$AQ$60,7,FALSE)</f>
        <v>199</v>
      </c>
      <c r="J61" s="117">
        <f>VLOOKUP(base!A61,PSYSAE2023OCTOT!$F$2:$AQ$60,8,FALSE)</f>
        <v>0</v>
      </c>
      <c r="K61" s="117">
        <f>VLOOKUP(base!A61,PSYSAE2023OCTOT!$F$2:$AQ$60,9,FALSE)</f>
        <v>0</v>
      </c>
      <c r="L61" s="117">
        <f>VLOOKUP(base!A61,PSYSAE2023OCTOT!$F$2:$AQ$60,10,FALSE)</f>
        <v>0</v>
      </c>
      <c r="M61" s="117">
        <f>VLOOKUP(base!A61,PSYSAE2023OCTOT!$F$2:$AQ$60,11,FALSE)</f>
        <v>15</v>
      </c>
      <c r="N61" s="117">
        <f>VLOOKUP(base!A61,PSYSAE2023OCTOT!$F$2:$AQ$60,12,FALSE)</f>
        <v>0</v>
      </c>
      <c r="O61" s="117">
        <f>VLOOKUP(base!A61,PSYSAE2023OCTOT!$F$2:$AQ$60,18,FALSE)</f>
        <v>63844</v>
      </c>
      <c r="P61" s="117">
        <f>VLOOKUP(base!A61,PSYSAE2023OCTOT!$F$2:$AQ$60,19,FALSE)</f>
        <v>0</v>
      </c>
      <c r="Q61" s="117">
        <f>VLOOKUP(base!A61,PSYSAE2023OCTOT!$F$2:$AQ$60,20,FALSE)</f>
        <v>0</v>
      </c>
      <c r="R61" s="117">
        <f>VLOOKUP(base!A61,PSYSAE2023OCTOT!$F$2:$AQ$60,21,FALSE)</f>
        <v>0</v>
      </c>
      <c r="S61" s="117">
        <f>VLOOKUP(base!A61,PSYSAE2023OCTOT!$F$2:$AQ$60,22,FALSE)</f>
        <v>4098</v>
      </c>
      <c r="T61" s="117">
        <f>VLOOKUP(base!A61,PSYSAE2023OCTOT!$F$2:$AQ$60,23,FALSE)</f>
        <v>0</v>
      </c>
      <c r="U61" s="114">
        <f t="shared" si="2"/>
        <v>0.87897019343291805</v>
      </c>
      <c r="V61" s="114">
        <v>0</v>
      </c>
      <c r="W61" s="114">
        <v>0</v>
      </c>
      <c r="X61" s="114">
        <v>0</v>
      </c>
      <c r="Y61" s="114">
        <f t="shared" si="4"/>
        <v>0.7484931506849315</v>
      </c>
      <c r="Z61" s="114">
        <v>0</v>
      </c>
      <c r="AA61" s="115">
        <f t="shared" si="5"/>
        <v>4.1849315068493151</v>
      </c>
      <c r="AB61" s="115">
        <f t="shared" si="5"/>
        <v>0</v>
      </c>
      <c r="AC61" s="115">
        <f t="shared" si="5"/>
        <v>0</v>
      </c>
      <c r="AD61" s="115">
        <f t="shared" si="5"/>
        <v>0</v>
      </c>
      <c r="AE61" s="115">
        <f t="shared" si="5"/>
        <v>2.2726027397260276</v>
      </c>
      <c r="AF61" s="115">
        <f t="shared" si="19"/>
        <v>0</v>
      </c>
      <c r="AG61" s="61">
        <f>VLOOKUP(base!A61,PSYSAE2023OCTOT!$F$2:$AQ$60,14,FALSE)</f>
        <v>151</v>
      </c>
      <c r="AH61" s="61">
        <f>VLOOKUP(base!A61,PSYSAE2023OCTOT!$F$2:$AQ$60,15,FALSE)</f>
        <v>10</v>
      </c>
      <c r="AI61" s="61">
        <f>VLOOKUP(base!A61,PSYSAE2023OCTOT!$F$2:$AQ$60,16,FALSE)</f>
        <v>0</v>
      </c>
      <c r="AJ61" s="61">
        <f>VLOOKUP(base!A61,PSYSAE2023OCTOT!$F$2:$AQ$60,24,FALSE)</f>
        <v>18967</v>
      </c>
      <c r="AK61" s="61">
        <f>VLOOKUP(base!A61,PSYSAE2023OCTOT!$F$2:$AQ$60,25,FALSE)</f>
        <v>127</v>
      </c>
      <c r="AL61" s="61">
        <f>VLOOKUP(base!A61,PSYSAE2023OCTOT!$F$2:$AQ$60,26,FALSE)</f>
        <v>0</v>
      </c>
      <c r="AM61" s="105">
        <f t="shared" si="6"/>
        <v>0.3441349904744625</v>
      </c>
      <c r="AN61" s="105">
        <f t="shared" si="16"/>
        <v>3.4794520547945205E-2</v>
      </c>
      <c r="AO61" s="105">
        <v>0</v>
      </c>
      <c r="AP61" s="61">
        <f t="shared" si="7"/>
        <v>91.485616438356161</v>
      </c>
      <c r="AQ61" s="61">
        <f t="shared" si="7"/>
        <v>9.1520547945205486</v>
      </c>
      <c r="AR61" s="61">
        <f t="shared" si="7"/>
        <v>0</v>
      </c>
      <c r="AS61" s="117">
        <f>VLOOKUP(base!A61,PSYSAE2023OCTOT!$F$2:$AQ$60,27,FALSE)</f>
        <v>16</v>
      </c>
      <c r="AT61" s="117">
        <f>VLOOKUP(base!A61,PSYSAE2023OCTOT!$F$2:$AQ$60,28,FALSE)</f>
        <v>13</v>
      </c>
      <c r="AU61" s="117">
        <f>VLOOKUP(base!A61,PSYSAE2023OCTOT!$F$2:$AQ$60,29,FALSE)</f>
        <v>9</v>
      </c>
      <c r="AV61" s="117">
        <f>VLOOKUP(base!A61,PSYSAE2023OCTOT!$F$2:$AQ$60,30,FALSE)</f>
        <v>82766</v>
      </c>
      <c r="AW61" s="117">
        <f>VLOOKUP(base!A61,PSYSAE2023OCTOT!$F$2:$AQ$60,31,FALSE)</f>
        <v>27539</v>
      </c>
      <c r="AX61" s="117">
        <f>VLOOKUP(base!A61,PSYSAE2023OCTOT!$F$2:$AQ$60,32,FALSE)</f>
        <v>17789</v>
      </c>
      <c r="AY61" s="117">
        <f>VLOOKUP(base!A61,PSYSAE2023OCTOT!$F$2:$AQ$60,33,FALSE)</f>
        <v>6185</v>
      </c>
      <c r="AZ61" s="117">
        <f>VLOOKUP(base!A61,PSYSAE2023OCTOT!$F$2:$AQ$60,34,FALSE)</f>
        <v>1063</v>
      </c>
      <c r="BA61" s="117">
        <f>VLOOKUP(base!A61,PSYSAE2023OCTOT!$F$2:$AQ$60,35,FALSE)</f>
        <v>3837</v>
      </c>
      <c r="BB61" s="117">
        <f>VLOOKUP(base!A61,PSYSAE2023OCTOT!$F$2:$AQ$60,36,FALSE)</f>
        <v>17</v>
      </c>
      <c r="BC61" s="223">
        <f>PSYSAE2023OCTOT!AP57</f>
        <v>11101</v>
      </c>
      <c r="BD61" s="223">
        <f>PSYSAE2023OCTOT!AQ57</f>
        <v>9318</v>
      </c>
      <c r="BE61" s="268">
        <f t="shared" si="8"/>
        <v>1783</v>
      </c>
      <c r="BF61" s="61">
        <f>H61/((I61+J61+K61+L61+M61+N61)+($BF$1*(AG61+AH61+AI61))+($BF$2*(AS61+AT61+AU61)))</f>
        <v>133122.24520342905</v>
      </c>
      <c r="BG61" s="124">
        <f>$BF$1*BF61</f>
        <v>119810.02068308614</v>
      </c>
      <c r="BH61" s="124">
        <f t="shared" si="9"/>
        <v>859641.45738214313</v>
      </c>
      <c r="BI61" s="116">
        <f t="shared" si="10"/>
        <v>12057401.471908582</v>
      </c>
      <c r="BJ61" s="116">
        <f t="shared" si="11"/>
        <v>35998726.070709273</v>
      </c>
      <c r="BK61" s="105">
        <f t="shared" si="12"/>
        <v>0.73593294773121676</v>
      </c>
      <c r="BL61" s="105">
        <f t="shared" si="13"/>
        <v>0.26406705226878324</v>
      </c>
      <c r="BM61" s="272">
        <f t="shared" si="14"/>
        <v>27434.531127313516</v>
      </c>
      <c r="BN61" s="116">
        <f t="shared" si="15"/>
        <v>12608.619298629996</v>
      </c>
    </row>
    <row r="62" spans="1:66" x14ac:dyDescent="0.25">
      <c r="A62" s="76">
        <v>820000016</v>
      </c>
      <c r="B62" s="75" t="str">
        <f>VLOOKUP(base!A62,scansanté2024!$B$12:$L$69,2,FALSE)</f>
        <v>CH MONTAUBAN</v>
      </c>
      <c r="C62" s="75" t="str">
        <f>VLOOKUP(base!A62,dotpop24!$B$8:$U$67,3,FALSE)</f>
        <v>EPS</v>
      </c>
      <c r="D62" s="61">
        <f>VLOOKUP(base!A62,scansanté2024!$B$12:$L$69,4,FALSE)</f>
        <v>58928</v>
      </c>
      <c r="E62" s="118">
        <f>VLOOKUP(base!A62,scansanté2024!$B$12:$L$69,7,FALSE)</f>
        <v>1402</v>
      </c>
      <c r="F62" s="118">
        <f>VLOOKUP(base!A62,scansanté2024!$B$12:$L$69,8,FALSE)</f>
        <v>95340</v>
      </c>
      <c r="G62" s="118">
        <f>VLOOKUP(base!A62,scansanté2024!$B$12:$L$69,11,FALSE)</f>
        <v>8910</v>
      </c>
      <c r="H62" s="118">
        <f>VLOOKUP(base!A62,dotpop24!$B$8:$U$67,20,FALSE)</f>
        <v>31767245</v>
      </c>
      <c r="I62" s="117">
        <f>VLOOKUP(base!A62,PSYSAE2023OCTOT!$F$2:$AQ$60,7,FALSE)</f>
        <v>190</v>
      </c>
      <c r="J62" s="117">
        <f>VLOOKUP(base!A62,PSYSAE2023OCTOT!$F$2:$AQ$60,8,FALSE)</f>
        <v>14</v>
      </c>
      <c r="K62" s="117">
        <f>VLOOKUP(base!A62,PSYSAE2023OCTOT!$F$2:$AQ$60,9,FALSE)</f>
        <v>0</v>
      </c>
      <c r="L62" s="117">
        <f>VLOOKUP(base!A62,PSYSAE2023OCTOT!$F$2:$AQ$60,10,FALSE)</f>
        <v>0</v>
      </c>
      <c r="M62" s="117">
        <f>VLOOKUP(base!A62,PSYSAE2023OCTOT!$F$2:$AQ$60,11,FALSE)</f>
        <v>0</v>
      </c>
      <c r="N62" s="117">
        <f>VLOOKUP(base!A62,PSYSAE2023OCTOT!$F$2:$AQ$60,12,FALSE)</f>
        <v>10</v>
      </c>
      <c r="O62" s="117">
        <f>VLOOKUP(base!A62,PSYSAE2023OCTOT!$F$2:$AQ$60,18,FALSE)</f>
        <v>54310</v>
      </c>
      <c r="P62" s="117">
        <f>VLOOKUP(base!A62,PSYSAE2023OCTOT!$F$2:$AQ$60,19,FALSE)</f>
        <v>365</v>
      </c>
      <c r="Q62" s="117">
        <f>VLOOKUP(base!A62,PSYSAE2023OCTOT!$F$2:$AQ$60,20,FALSE)</f>
        <v>0</v>
      </c>
      <c r="R62" s="117">
        <f>VLOOKUP(base!A62,PSYSAE2023OCTOT!$F$2:$AQ$60,21,FALSE)</f>
        <v>0</v>
      </c>
      <c r="S62" s="117">
        <f>VLOOKUP(base!A62,PSYSAE2023OCTOT!$F$2:$AQ$60,22,FALSE)</f>
        <v>0</v>
      </c>
      <c r="T62" s="117">
        <f>VLOOKUP(base!A62,PSYSAE2023OCTOT!$F$2:$AQ$60,23,FALSE)</f>
        <v>6073</v>
      </c>
      <c r="U62" s="114">
        <f t="shared" si="2"/>
        <v>0.78312905551550105</v>
      </c>
      <c r="V62" s="114">
        <f t="shared" si="3"/>
        <v>7.1428571428571425E-2</v>
      </c>
      <c r="W62" s="114">
        <v>0</v>
      </c>
      <c r="X62" s="114">
        <v>0</v>
      </c>
      <c r="Y62" s="114">
        <v>0</v>
      </c>
      <c r="Z62" s="114">
        <f t="shared" si="4"/>
        <v>1.6638356164383561</v>
      </c>
      <c r="AA62" s="115">
        <f t="shared" si="5"/>
        <v>22.205479452054796</v>
      </c>
      <c r="AB62" s="115">
        <f t="shared" si="5"/>
        <v>11.6</v>
      </c>
      <c r="AC62" s="115">
        <f t="shared" si="5"/>
        <v>0</v>
      </c>
      <c r="AD62" s="115">
        <f t="shared" si="5"/>
        <v>0</v>
      </c>
      <c r="AE62" s="115">
        <f t="shared" si="5"/>
        <v>0</v>
      </c>
      <c r="AF62" s="115">
        <f t="shared" si="19"/>
        <v>0</v>
      </c>
      <c r="AG62" s="61">
        <f>VLOOKUP(base!A62,PSYSAE2023OCTOT!$F$2:$AQ$60,14,FALSE)</f>
        <v>89</v>
      </c>
      <c r="AH62" s="61">
        <f>VLOOKUP(base!A62,PSYSAE2023OCTOT!$F$2:$AQ$60,15,FALSE)</f>
        <v>0</v>
      </c>
      <c r="AI62" s="61">
        <f>VLOOKUP(base!A62,PSYSAE2023OCTOT!$F$2:$AQ$60,16,FALSE)</f>
        <v>0</v>
      </c>
      <c r="AJ62" s="61">
        <f>VLOOKUP(base!A62,PSYSAE2023OCTOT!$F$2:$AQ$60,24,FALSE)</f>
        <v>7152</v>
      </c>
      <c r="AK62" s="61">
        <f>VLOOKUP(base!A62,PSYSAE2023OCTOT!$F$2:$AQ$60,25,FALSE)</f>
        <v>0</v>
      </c>
      <c r="AL62" s="61">
        <f>VLOOKUP(base!A62,PSYSAE2023OCTOT!$F$2:$AQ$60,26,FALSE)</f>
        <v>0</v>
      </c>
      <c r="AM62" s="105">
        <f t="shared" si="6"/>
        <v>0.22016315222410343</v>
      </c>
      <c r="AN62" s="105">
        <v>0</v>
      </c>
      <c r="AO62" s="105">
        <v>0</v>
      </c>
      <c r="AP62" s="61">
        <f t="shared" si="7"/>
        <v>64.955479452054789</v>
      </c>
      <c r="AQ62" s="61">
        <f t="shared" si="7"/>
        <v>0</v>
      </c>
      <c r="AR62" s="61">
        <f t="shared" si="7"/>
        <v>0</v>
      </c>
      <c r="AS62" s="117">
        <f>VLOOKUP(base!A62,PSYSAE2023OCTOT!$F$2:$AQ$60,27,FALSE)</f>
        <v>27</v>
      </c>
      <c r="AT62" s="117">
        <f>VLOOKUP(base!A62,PSYSAE2023OCTOT!$F$2:$AQ$60,28,FALSE)</f>
        <v>6</v>
      </c>
      <c r="AU62" s="117">
        <f>VLOOKUP(base!A62,PSYSAE2023OCTOT!$F$2:$AQ$60,29,FALSE)</f>
        <v>5</v>
      </c>
      <c r="AV62" s="117">
        <f>VLOOKUP(base!A62,PSYSAE2023OCTOT!$F$2:$AQ$60,30,FALSE)</f>
        <v>64963</v>
      </c>
      <c r="AW62" s="117">
        <f>VLOOKUP(base!A62,PSYSAE2023OCTOT!$F$2:$AQ$60,31,FALSE)</f>
        <v>2207</v>
      </c>
      <c r="AX62" s="117">
        <f>VLOOKUP(base!A62,PSYSAE2023OCTOT!$F$2:$AQ$60,32,FALSE)</f>
        <v>5493</v>
      </c>
      <c r="AY62" s="117">
        <f>VLOOKUP(base!A62,PSYSAE2023OCTOT!$F$2:$AQ$60,33,FALSE)</f>
        <v>6698</v>
      </c>
      <c r="AZ62" s="117">
        <f>VLOOKUP(base!A62,PSYSAE2023OCTOT!$F$2:$AQ$60,34,FALSE)</f>
        <v>660</v>
      </c>
      <c r="BA62" s="117">
        <f>VLOOKUP(base!A62,PSYSAE2023OCTOT!$F$2:$AQ$60,35,FALSE)</f>
        <v>1606</v>
      </c>
      <c r="BB62" s="117">
        <f>VLOOKUP(base!A62,PSYSAE2023OCTOT!$F$2:$AQ$60,36,FALSE)</f>
        <v>49</v>
      </c>
      <c r="BC62" s="223">
        <f>PSYSAE2023OCTOT!AP58</f>
        <v>10172</v>
      </c>
      <c r="BD62" s="223">
        <f>PSYSAE2023OCTOT!AQ58</f>
        <v>9041</v>
      </c>
      <c r="BE62" s="268">
        <f t="shared" si="8"/>
        <v>1131</v>
      </c>
      <c r="BF62" s="61">
        <f>H62/((I62+J62+K62+L62+M62+N62)+($BF$1*(AG62+AH62+AI62))+($BF$2*(AS62+AT62+AU62)))</f>
        <v>104963.63786552122</v>
      </c>
      <c r="BG62" s="124">
        <f>$BF$1*BF62</f>
        <v>94467.274078969102</v>
      </c>
      <c r="BH62" s="124">
        <f t="shared" si="9"/>
        <v>3548346.1030757986</v>
      </c>
      <c r="BI62" s="116">
        <f t="shared" si="10"/>
        <v>6136167.080328105</v>
      </c>
      <c r="BJ62" s="116">
        <f t="shared" si="11"/>
        <v>22082731.816596098</v>
      </c>
      <c r="BK62" s="105">
        <f t="shared" si="12"/>
        <v>0.69514154647644444</v>
      </c>
      <c r="BL62" s="105">
        <f t="shared" si="13"/>
        <v>0.30485845352355556</v>
      </c>
      <c r="BM62" s="272">
        <f t="shared" si="14"/>
        <v>28087.749778956677</v>
      </c>
      <c r="BN62" s="116">
        <f t="shared" si="15"/>
        <v>10036.330750578552</v>
      </c>
    </row>
    <row r="63" spans="1:66" ht="25.5" x14ac:dyDescent="0.25">
      <c r="A63" s="76">
        <v>820003911</v>
      </c>
      <c r="B63" s="75" t="str">
        <f>VLOOKUP(base!A63,scansanté2024!$B$12:$L$69,2,FALSE)</f>
        <v>FONDATION JOHN BOST, PAVILLON LOU CAMIN</v>
      </c>
      <c r="C63" s="75" t="str">
        <f>VLOOKUP(base!A63,dotpop24!$B$8:$U$67,3,FALSE)</f>
        <v>EBNL</v>
      </c>
      <c r="D63" s="61">
        <f>VLOOKUP(base!A63,scansanté2024!$B$12:$L$69,4,FALSE)</f>
        <v>8871</v>
      </c>
      <c r="E63" s="118">
        <f>VLOOKUP(base!A63,scansanté2024!$B$12:$L$69,7,FALSE)</f>
        <v>127</v>
      </c>
      <c r="F63" s="118">
        <f>VLOOKUP(base!A63,scansanté2024!$B$12:$L$69,8,FALSE)</f>
        <v>152</v>
      </c>
      <c r="G63" s="118">
        <f>VLOOKUP(base!A63,scansanté2024!$B$12:$L$69,11,FALSE)</f>
        <v>54</v>
      </c>
      <c r="H63" s="118">
        <f>VLOOKUP(base!A63,dotpop24!$B$8:$U$67,20,FALSE)</f>
        <v>2478974</v>
      </c>
      <c r="I63" s="117">
        <f>VLOOKUP(base!A63,PSYSAE2023OCTOT!$F$2:$AQ$60,7,FALSE)</f>
        <v>30</v>
      </c>
      <c r="J63" s="117">
        <v>0</v>
      </c>
      <c r="K63" s="117">
        <f>VLOOKUP(base!A63,PSYSAE2023OCTOT!$F$2:$AQ$60,9,FALSE)</f>
        <v>3</v>
      </c>
      <c r="L63" s="117">
        <v>0</v>
      </c>
      <c r="M63" s="117">
        <v>0</v>
      </c>
      <c r="N63" s="117">
        <v>0</v>
      </c>
      <c r="O63" s="117">
        <f>VLOOKUP(base!A63,PSYSAE2023OCTOT!$F$2:$AQ$60,18,FALSE)</f>
        <v>8864</v>
      </c>
      <c r="P63" s="117">
        <v>0</v>
      </c>
      <c r="Q63" s="117">
        <f>VLOOKUP(base!A63,PSYSAE2023OCTOT!$F$2:$AQ$60,20,FALSE)</f>
        <v>101</v>
      </c>
      <c r="R63" s="117">
        <v>0</v>
      </c>
      <c r="S63" s="117">
        <v>0</v>
      </c>
      <c r="T63" s="117">
        <v>0</v>
      </c>
      <c r="U63" s="114">
        <f t="shared" si="2"/>
        <v>0.80949771689497718</v>
      </c>
      <c r="V63" s="114">
        <v>0</v>
      </c>
      <c r="W63" s="114">
        <f t="shared" si="4"/>
        <v>9.223744292237443E-2</v>
      </c>
      <c r="X63" s="114">
        <v>0</v>
      </c>
      <c r="Y63" s="114">
        <v>0</v>
      </c>
      <c r="Z63" s="114">
        <v>0</v>
      </c>
      <c r="AA63" s="115">
        <f t="shared" si="5"/>
        <v>2.7150684931506848</v>
      </c>
      <c r="AB63" s="115">
        <f t="shared" si="5"/>
        <v>0</v>
      </c>
      <c r="AC63" s="115">
        <f t="shared" si="5"/>
        <v>2.4232876712328766</v>
      </c>
      <c r="AD63" s="115">
        <f t="shared" si="5"/>
        <v>0</v>
      </c>
      <c r="AE63" s="115">
        <f t="shared" si="5"/>
        <v>0</v>
      </c>
      <c r="AF63" s="115">
        <f t="shared" si="19"/>
        <v>0</v>
      </c>
      <c r="AG63" s="61">
        <f>VLOOKUP(base!A63,PSYSAE2023OCTOT!$F$2:$AQ$60,14,FALSE)</f>
        <v>3</v>
      </c>
      <c r="AH63" s="61">
        <v>0</v>
      </c>
      <c r="AI63" s="61">
        <v>0</v>
      </c>
      <c r="AJ63" s="61">
        <f>VLOOKUP(base!A63,PSYSAE2023OCTOT!$F$2:$AQ$60,24,FALSE)</f>
        <v>310</v>
      </c>
      <c r="AK63" s="61">
        <v>0</v>
      </c>
      <c r="AL63" s="61">
        <v>0</v>
      </c>
      <c r="AM63" s="105">
        <f t="shared" si="6"/>
        <v>0.28310502283105021</v>
      </c>
      <c r="AN63" s="105">
        <v>0</v>
      </c>
      <c r="AO63" s="105">
        <v>0</v>
      </c>
      <c r="AP63" s="61">
        <f t="shared" si="7"/>
        <v>2.0006849315068491</v>
      </c>
      <c r="AQ63" s="61">
        <f t="shared" si="7"/>
        <v>0</v>
      </c>
      <c r="AR63" s="61">
        <f t="shared" si="7"/>
        <v>0</v>
      </c>
      <c r="AS63" s="117">
        <v>0</v>
      </c>
      <c r="AT63" s="117">
        <v>0</v>
      </c>
      <c r="AU63" s="117">
        <v>0</v>
      </c>
      <c r="AV63" s="117">
        <v>0</v>
      </c>
      <c r="AW63" s="117">
        <v>0</v>
      </c>
      <c r="AX63" s="117">
        <v>0</v>
      </c>
      <c r="AY63" s="117">
        <v>0</v>
      </c>
      <c r="AZ63" s="117">
        <v>0</v>
      </c>
      <c r="BA63" s="117">
        <v>0</v>
      </c>
      <c r="BB63" s="117">
        <v>0</v>
      </c>
      <c r="BC63" s="223">
        <f>PSYSAE2023OCTOT!AP59</f>
        <v>94</v>
      </c>
      <c r="BD63" s="223"/>
      <c r="BE63" s="268">
        <f t="shared" si="8"/>
        <v>94</v>
      </c>
      <c r="BF63" s="61">
        <f>H63/((I63+J63+K63+L63+M63+N63)+($BF$1*(AG63+AH63+AI63))+($BF$2*(AS63+AT63+AU63)))</f>
        <v>69439.047619047618</v>
      </c>
      <c r="BG63" s="124">
        <f>$BF$1*BF63</f>
        <v>62495.142857142855</v>
      </c>
      <c r="BH63" s="124">
        <f t="shared" si="9"/>
        <v>356802.55838225695</v>
      </c>
      <c r="BI63" s="116">
        <f t="shared" si="10"/>
        <v>125033.0906066536</v>
      </c>
      <c r="BJ63" s="116">
        <f t="shared" si="11"/>
        <v>1997138.3510110895</v>
      </c>
      <c r="BK63" s="105">
        <f t="shared" si="12"/>
        <v>0.80563101953110017</v>
      </c>
      <c r="BL63" s="105">
        <f t="shared" si="13"/>
        <v>0.19436898046889983</v>
      </c>
      <c r="BM63" s="272">
        <f t="shared" si="14"/>
        <v>26372.063829787236</v>
      </c>
      <c r="BN63" s="116">
        <f t="shared" si="15"/>
        <v>26372.063829787236</v>
      </c>
    </row>
    <row r="64" spans="1:66" ht="25.5" x14ac:dyDescent="0.25">
      <c r="A64" s="120">
        <v>820005908</v>
      </c>
      <c r="B64" s="99" t="s">
        <v>382</v>
      </c>
      <c r="C64" s="75" t="str">
        <f>VLOOKUP(base!A64,dotpop24!$B$8:$U$67,3,FALSE)</f>
        <v>EBNL</v>
      </c>
      <c r="D64" s="61">
        <v>210</v>
      </c>
      <c r="E64" s="118">
        <v>0</v>
      </c>
      <c r="F64" s="118">
        <v>0</v>
      </c>
      <c r="G64" s="118">
        <v>0</v>
      </c>
      <c r="H64" s="118">
        <f>VLOOKUP(base!A64,dotpop24!$B$8:$U$67,20,FALSE)</f>
        <v>311006</v>
      </c>
      <c r="I64" s="117">
        <v>0</v>
      </c>
      <c r="J64" s="117">
        <v>0</v>
      </c>
      <c r="K64" s="117">
        <v>0</v>
      </c>
      <c r="L64" s="117">
        <v>0</v>
      </c>
      <c r="M64" s="117">
        <v>0</v>
      </c>
      <c r="N64" s="117">
        <v>0</v>
      </c>
      <c r="O64" s="117">
        <v>0</v>
      </c>
      <c r="P64" s="117">
        <v>0</v>
      </c>
      <c r="Q64" s="117">
        <v>0</v>
      </c>
      <c r="R64" s="117">
        <v>0</v>
      </c>
      <c r="S64" s="117">
        <v>0</v>
      </c>
      <c r="T64" s="117">
        <v>0</v>
      </c>
      <c r="U64" s="114">
        <v>0</v>
      </c>
      <c r="V64" s="114">
        <v>0</v>
      </c>
      <c r="W64" s="114">
        <v>0</v>
      </c>
      <c r="X64" s="114">
        <v>0</v>
      </c>
      <c r="Y64" s="114">
        <v>0</v>
      </c>
      <c r="Z64" s="114">
        <v>0</v>
      </c>
      <c r="AA64" s="115">
        <f t="shared" si="5"/>
        <v>0</v>
      </c>
      <c r="AB64" s="115">
        <f t="shared" si="5"/>
        <v>0</v>
      </c>
      <c r="AC64" s="115">
        <f t="shared" si="5"/>
        <v>0</v>
      </c>
      <c r="AD64" s="115">
        <f t="shared" si="5"/>
        <v>0</v>
      </c>
      <c r="AE64" s="115">
        <f t="shared" si="5"/>
        <v>0</v>
      </c>
      <c r="AF64" s="115">
        <f t="shared" si="19"/>
        <v>0</v>
      </c>
      <c r="AG64" s="61">
        <f>VLOOKUP(base!A64,PSYSAE2023OCTOT!$F$2:$AQ$60,14,FALSE)</f>
        <v>0</v>
      </c>
      <c r="AH64" s="61">
        <v>0</v>
      </c>
      <c r="AI64" s="61">
        <f>VLOOKUP(base!A64,PSYSAE2023OCTOT!$F$2:$AQ$60,16,FALSE)</f>
        <v>1</v>
      </c>
      <c r="AJ64" s="61">
        <v>0</v>
      </c>
      <c r="AK64" s="61">
        <v>0</v>
      </c>
      <c r="AL64" s="61">
        <f>VLOOKUP(base!A64,PSYSAE2023OCTOT!$F$2:$AQ$60,26,FALSE)</f>
        <v>210</v>
      </c>
      <c r="AM64" s="105">
        <v>0</v>
      </c>
      <c r="AN64" s="105">
        <v>0</v>
      </c>
      <c r="AO64" s="105">
        <f t="shared" si="17"/>
        <v>0.57534246575342463</v>
      </c>
      <c r="AP64" s="61">
        <f t="shared" si="7"/>
        <v>0</v>
      </c>
      <c r="AQ64" s="61">
        <f t="shared" si="7"/>
        <v>0</v>
      </c>
      <c r="AR64" s="61">
        <f t="shared" si="7"/>
        <v>0.37465753424657533</v>
      </c>
      <c r="AS64" s="117">
        <f>VLOOKUP(base!A64,PSYSAE2023OCTOT!$F$2:$AQ$60,27,FALSE)</f>
        <v>2</v>
      </c>
      <c r="AT64" s="117">
        <v>0</v>
      </c>
      <c r="AU64" s="117">
        <v>0</v>
      </c>
      <c r="AV64" s="117">
        <f>VLOOKUP(base!A64,PSYSAE2023OCTOT!$F$2:$AQ$60,30,FALSE)</f>
        <v>3051</v>
      </c>
      <c r="AW64" s="117">
        <v>0</v>
      </c>
      <c r="AX64" s="117">
        <v>0</v>
      </c>
      <c r="AY64" s="117">
        <v>0</v>
      </c>
      <c r="AZ64" s="117">
        <v>0</v>
      </c>
      <c r="BA64" s="117">
        <v>0</v>
      </c>
      <c r="BB64" s="117">
        <v>0</v>
      </c>
      <c r="BC64" s="223">
        <f>PSYSAE2023OCTOT!AP60</f>
        <v>156</v>
      </c>
      <c r="BD64" s="223">
        <f>PSYSAE2023OCTOT!AQ60</f>
        <v>156</v>
      </c>
      <c r="BE64" s="268">
        <f t="shared" si="8"/>
        <v>0</v>
      </c>
      <c r="BF64" s="61">
        <f>H64/((I64+J64+K64+L64+M64+N64)+($BF$1*(AG64+AH64+AI64))+($BF$2*(AS64+AT64+AU64)))</f>
        <v>230374.8148148148</v>
      </c>
      <c r="BG64" s="124">
        <f>$BF$1*BF64</f>
        <v>207337.33333333331</v>
      </c>
      <c r="BH64" s="124">
        <f t="shared" si="9"/>
        <v>0</v>
      </c>
      <c r="BI64" s="116">
        <f t="shared" si="10"/>
        <v>77680.494063926933</v>
      </c>
      <c r="BJ64" s="116">
        <f t="shared" si="11"/>
        <v>233325.50593607308</v>
      </c>
      <c r="BK64" s="105">
        <f t="shared" si="12"/>
        <v>0.75022831050228322</v>
      </c>
      <c r="BL64" s="105">
        <f t="shared" si="13"/>
        <v>0.24977168949771678</v>
      </c>
      <c r="BM64" s="272" t="e">
        <f t="shared" si="14"/>
        <v>#DIV/0!</v>
      </c>
      <c r="BN64" s="116">
        <f>H64/(BE64+($BF$2*BD64))</f>
        <v>8860.5698005697996</v>
      </c>
    </row>
    <row r="65" spans="1:66" x14ac:dyDescent="0.25">
      <c r="A65" s="148"/>
      <c r="B65" s="147"/>
      <c r="C65" s="75"/>
      <c r="D65" s="61"/>
      <c r="E65" s="118"/>
      <c r="F65" s="118"/>
      <c r="G65" s="118"/>
      <c r="H65" s="118"/>
      <c r="I65" s="61"/>
      <c r="J65" s="61"/>
      <c r="K65" s="61"/>
      <c r="L65" s="61"/>
      <c r="M65" s="61"/>
      <c r="N65" s="61"/>
      <c r="O65" s="61"/>
      <c r="P65" s="61"/>
      <c r="Q65" s="61"/>
      <c r="R65" s="61"/>
      <c r="S65" s="61"/>
      <c r="T65" s="61"/>
      <c r="U65" s="206" t="s">
        <v>383</v>
      </c>
      <c r="V65" s="145"/>
      <c r="W65" s="145"/>
      <c r="X65" s="145"/>
      <c r="Y65" s="145"/>
      <c r="Z65" s="145"/>
      <c r="AA65" s="146"/>
      <c r="AB65" s="243" t="s">
        <v>454</v>
      </c>
      <c r="AC65" s="243"/>
      <c r="AD65" s="243"/>
      <c r="AE65" s="243"/>
      <c r="AF65" s="243"/>
      <c r="AG65" s="61"/>
      <c r="AH65" s="61"/>
      <c r="AI65" s="61"/>
      <c r="AJ65" s="61"/>
      <c r="AK65" s="61"/>
      <c r="AL65" s="61"/>
      <c r="AM65" s="222" t="s">
        <v>383</v>
      </c>
      <c r="AN65" s="105"/>
      <c r="AO65" s="105"/>
      <c r="AP65" s="61"/>
      <c r="AQ65" s="61"/>
      <c r="AR65" s="61"/>
      <c r="AS65" s="248" t="s">
        <v>455</v>
      </c>
      <c r="AT65" s="249"/>
      <c r="AU65" s="249"/>
      <c r="AV65" s="249"/>
      <c r="AW65" s="249"/>
      <c r="AX65" s="249"/>
      <c r="AY65" s="249"/>
      <c r="AZ65" s="249"/>
      <c r="BA65" s="249"/>
      <c r="BB65" s="249"/>
      <c r="BF65" s="221" t="s">
        <v>498</v>
      </c>
      <c r="BK65" s="269" t="s">
        <v>508</v>
      </c>
      <c r="BL65" s="269" t="s">
        <v>498</v>
      </c>
      <c r="BM65" s="269" t="s">
        <v>498</v>
      </c>
      <c r="BN65" s="269" t="s">
        <v>498</v>
      </c>
    </row>
    <row r="66" spans="1:66" x14ac:dyDescent="0.25">
      <c r="A66" s="74" t="s">
        <v>458</v>
      </c>
      <c r="D66" s="149">
        <f>SUMIF($C$5:$C$64, "EPS", D5:D64)</f>
        <v>1004181</v>
      </c>
      <c r="E66" s="149">
        <f>SUMIF($C$5:$C$64, "EPS", E5:E64)</f>
        <v>59633</v>
      </c>
      <c r="F66" s="149">
        <f>SUMIF($C$5:$C$64, "EPS", F5:F64)</f>
        <v>1892893</v>
      </c>
      <c r="G66" s="149">
        <f>SUMIF($C$5:$C$64, "EPS", G5:G64)</f>
        <v>172597</v>
      </c>
      <c r="H66" s="149">
        <f>SUMIF($C$5:$C$64, "EPS", H5:H64)</f>
        <v>591628686</v>
      </c>
      <c r="I66" s="149">
        <f>SUMIF($C$5:$C$64, "EPS", I5:I64)</f>
        <v>2350</v>
      </c>
      <c r="J66" s="149">
        <f>SUMIF($C$5:$C$64, "EPS", J5:J64)</f>
        <v>151</v>
      </c>
      <c r="K66" s="149">
        <f>SUMIF($C$5:$C$64, "EPS", K5:K64)</f>
        <v>52</v>
      </c>
      <c r="L66" s="149">
        <f>SUMIF($C$5:$C$64, "EPS", L5:L64)</f>
        <v>54</v>
      </c>
      <c r="M66" s="149">
        <f>SUMIF($C$5:$C$64, "EPS", M5:M64)</f>
        <v>34</v>
      </c>
      <c r="N66" s="149">
        <f>SUMIF($C$5:$C$64, "EPS", N5:N64)</f>
        <v>68</v>
      </c>
      <c r="O66" s="149">
        <f>SUMIF($C$5:$C$64, "EPS", O5:O64)</f>
        <v>712372</v>
      </c>
      <c r="P66" s="149">
        <f>SUMIF($C$5:$C$64, "EPS", P5:P64)</f>
        <v>13082</v>
      </c>
      <c r="Q66" s="149">
        <f>SUMIF($C$5:$C$64, "EPS", Q5:Q64)</f>
        <v>11909</v>
      </c>
      <c r="R66" s="149">
        <f>SUMIF($C$5:$C$64, "EPS", R5:R64)</f>
        <v>12266</v>
      </c>
      <c r="S66" s="149">
        <f>SUMIF($C$5:$C$64, "EPS", S5:S64)</f>
        <v>10223</v>
      </c>
      <c r="T66" s="149">
        <f>SUMIF($C$5:$C$64, "EPS", T5:T64)</f>
        <v>20076</v>
      </c>
      <c r="U66" s="207">
        <f>O66/(I66*365)</f>
        <v>0.83051238705916641</v>
      </c>
      <c r="V66" s="149"/>
      <c r="W66" s="149"/>
      <c r="X66" s="149"/>
      <c r="Y66" s="149"/>
      <c r="Z66" s="149"/>
      <c r="AA66" s="149">
        <f>SUMIF($C$5:$C$64, "EPS", AA5:AA64)</f>
        <v>193.09041095890407</v>
      </c>
      <c r="AB66" s="149">
        <f>SUMIF($C$5:$C$64, "EPS", AB5:AB64)</f>
        <v>100.96027397260274</v>
      </c>
      <c r="AC66" s="149">
        <f>SUMIF($C$5:$C$64, "EPS", AC5:AC64)</f>
        <v>17.767123287671232</v>
      </c>
      <c r="AD66" s="149">
        <f>SUMIF($C$5:$C$64, "EPS", AD5:AD64)</f>
        <v>14.994520547945205</v>
      </c>
      <c r="AE66" s="149">
        <f>SUMIF($C$5:$C$64, "EPS", AE5:AE64)</f>
        <v>2.6383561643835618</v>
      </c>
      <c r="AF66" s="149">
        <f>SUMIF($C$5:$C$64, "EPS", AF5:AF64)</f>
        <v>13.835616438356167</v>
      </c>
      <c r="AG66" s="149">
        <f>SUMIF($C$5:$C$64, "EPS", AG5:AG64)</f>
        <v>1694</v>
      </c>
      <c r="AH66" s="149">
        <f>SUMIF($C$5:$C$64, "EPS", AH5:AH64)</f>
        <v>34</v>
      </c>
      <c r="AI66" s="149">
        <f>SUMIF($C$5:$C$64, "EPS", AI5:AI64)</f>
        <v>17</v>
      </c>
      <c r="AJ66" s="149">
        <f>SUMIF($C$5:$C$64, "EPS", AJ5:AJ64)</f>
        <v>232446</v>
      </c>
      <c r="AK66" s="149">
        <f>SUMIF($C$5:$C$64, "EPS", AK5:AK64)</f>
        <v>499</v>
      </c>
      <c r="AL66" s="149">
        <f>SUMIF($C$5:$C$64, "EPS", AL5:AL64)</f>
        <v>7034</v>
      </c>
      <c r="AM66" s="207">
        <f>AJ66/(AG66*365)</f>
        <v>0.37593763646067507</v>
      </c>
      <c r="AN66" s="149"/>
      <c r="AO66" s="149"/>
      <c r="AP66" s="149">
        <f>SUMIF($C$5:$C$64, "EPS", AP5:AP64)</f>
        <v>973.62876712328762</v>
      </c>
      <c r="AQ66" s="149">
        <f>SUMIF($C$5:$C$64, "EPS", AQ5:AQ64)</f>
        <v>30.93287671232877</v>
      </c>
      <c r="AR66" s="149">
        <f>SUMIF($C$5:$C$64, "EPS", AR5:AR64)</f>
        <v>2.1876712328767125</v>
      </c>
      <c r="AS66" s="149">
        <f>SUMIF($C$5:$C$64, "EPS", AS5:AS64)</f>
        <v>204</v>
      </c>
      <c r="AT66" s="149">
        <f>SUMIF($C$5:$C$64, "EPS", AT5:AT64)</f>
        <v>111</v>
      </c>
      <c r="AU66" s="149">
        <f>SUMIF($C$5:$C$64, "EPS", AU5:AU64)</f>
        <v>115</v>
      </c>
      <c r="AV66" s="149">
        <f>SUMIF($C$5:$C$64, "EPS", AV5:AV64)</f>
        <v>818785</v>
      </c>
      <c r="AW66" s="149">
        <f>SUMIF($C$5:$C$64, "EPS", AW5:AW64)</f>
        <v>247893</v>
      </c>
      <c r="AX66" s="149">
        <f>SUMIF($C$5:$C$64, "EPS", AX5:AX64)</f>
        <v>194538</v>
      </c>
      <c r="AY66" s="149">
        <f>SUMIF($C$5:$C$64, "EPS", AY5:AY64)</f>
        <v>186420</v>
      </c>
      <c r="AZ66" s="149">
        <f>SUMIF($C$5:$C$64, "EPS", AZ5:AZ64)</f>
        <v>26098</v>
      </c>
      <c r="BA66" s="149">
        <f>SUMIF($C$5:$C$64, "EPS", BA5:BA64)</f>
        <v>75159</v>
      </c>
      <c r="BB66" s="149">
        <f>SUMIF($C$5:$C$64, "EPS", BB5:BB64)</f>
        <v>7767</v>
      </c>
      <c r="BC66">
        <f>SUMIF($C$5:$C$64, "EPS", BC5:BC64)</f>
        <v>147683</v>
      </c>
      <c r="BD66">
        <f>SUMIF($C$5:$C$64, "EPS", BD5:BD64)</f>
        <v>124569</v>
      </c>
      <c r="BE66">
        <f>SUMIF($C$5:$C$64, "EPS", BE5:BE64)</f>
        <v>23114</v>
      </c>
      <c r="BF66" s="61">
        <f>H66/((I66+J66+K66+L66+M66+N66)+($BF$1*(AG66+AH66+AI66))+($BF$2*(AS66+AT66+AU66)))</f>
        <v>135190.78800342759</v>
      </c>
      <c r="BH66" s="116"/>
      <c r="BJ66" s="116">
        <f>SUMIF($C$5:$C$64, "EPS", BJ5:BJ64)</f>
        <v>426197265.64626813</v>
      </c>
      <c r="BK66" s="105">
        <f>BJ66/H66</f>
        <v>0.72037964982358571</v>
      </c>
      <c r="BL66" s="270">
        <f>1-BK66</f>
        <v>0.27962035017641429</v>
      </c>
      <c r="BM66" s="272">
        <f>H66/BE66</f>
        <v>25596.118629402095</v>
      </c>
      <c r="BN66" s="116">
        <f t="shared" ref="BN66:BN69" si="35">H66/(BE66+($BF$2*BD66))</f>
        <v>11568.346892795113</v>
      </c>
    </row>
    <row r="67" spans="1:66" x14ac:dyDescent="0.25">
      <c r="A67" s="74" t="s">
        <v>459</v>
      </c>
      <c r="D67" s="61">
        <f>SUMIF($C$5:$C$64, "EBNL", D5:D64)</f>
        <v>373844</v>
      </c>
      <c r="E67" s="61">
        <f>SUMIF($C$5:$C$64, "EBNL", E5:E64)</f>
        <v>13581</v>
      </c>
      <c r="F67" s="61">
        <f>SUMIF($C$5:$C$64, "EBNL", F5:F64)</f>
        <v>506524</v>
      </c>
      <c r="G67" s="61">
        <f>SUMIF($C$5:$C$64, "EBNL", G5:G64)</f>
        <v>42996</v>
      </c>
      <c r="H67" s="61">
        <f>SUMIF($C$5:$C$64, "EBNL", H5:H64)</f>
        <v>185769425</v>
      </c>
      <c r="I67" s="61">
        <f>SUMIF($C$5:$C$64, "EBNL", I5:I64)</f>
        <v>789</v>
      </c>
      <c r="J67" s="61">
        <f>SUMIF($C$5:$C$64, "EBNL", J5:J64)</f>
        <v>46</v>
      </c>
      <c r="K67" s="61">
        <f>SUMIF($C$5:$C$64, "EBNL", K5:K64)</f>
        <v>16</v>
      </c>
      <c r="L67" s="61">
        <f>SUMIF($C$5:$C$64, "EBNL", L5:L64)</f>
        <v>65</v>
      </c>
      <c r="M67" s="61">
        <f>SUMIF($C$5:$C$64, "EBNL", M5:M64)</f>
        <v>19</v>
      </c>
      <c r="N67" s="61">
        <f>SUMIF($C$5:$C$64, "EBNL", N5:N64)</f>
        <v>0</v>
      </c>
      <c r="O67" s="61">
        <f>SUMIF($C$5:$C$64, "EBNL", O5:O64)</f>
        <v>229055</v>
      </c>
      <c r="P67" s="61">
        <f>SUMIF($C$5:$C$64, "EBNL", P5:P64)</f>
        <v>11329</v>
      </c>
      <c r="Q67" s="61">
        <f>SUMIF($C$5:$C$64, "EBNL", Q5:Q64)</f>
        <v>2653</v>
      </c>
      <c r="R67" s="61">
        <f>SUMIF($C$5:$C$64, "EBNL", R5:R64)</f>
        <v>19661</v>
      </c>
      <c r="S67" s="61">
        <f>SUMIF($C$5:$C$64, "EBNL", S5:S64)</f>
        <v>5126</v>
      </c>
      <c r="T67" s="61">
        <f>SUMIF($C$5:$C$64, "EBNL", T5:T64)</f>
        <v>0</v>
      </c>
      <c r="U67" s="207">
        <f t="shared" ref="U67:U68" si="36">O67/(I67*365)</f>
        <v>0.79537128669896007</v>
      </c>
      <c r="V67" s="61"/>
      <c r="W67" s="61"/>
      <c r="X67" s="61"/>
      <c r="Y67" s="61"/>
      <c r="Z67" s="61"/>
      <c r="AA67" s="61">
        <f>SUMIF($C$5:$C$64, "EBNL", AA5:AA64)</f>
        <v>82.552054794520544</v>
      </c>
      <c r="AB67" s="61">
        <f>SUMIF($C$5:$C$64, "EBNL", AB5:AB64)</f>
        <v>10.361643835616437</v>
      </c>
      <c r="AC67" s="61">
        <f>SUMIF($C$5:$C$64, "EBNL", AC5:AC64)</f>
        <v>7.1315068493150688</v>
      </c>
      <c r="AD67" s="61">
        <f>SUMIF($C$5:$C$64, "EBNL", AD5:AD64)</f>
        <v>4.6643835616438354</v>
      </c>
      <c r="AE67" s="61">
        <f>SUMIF($C$5:$C$64, "EBNL", AE5:AE64)</f>
        <v>3.0561643835616441</v>
      </c>
      <c r="AF67" s="61">
        <f>SUMIF($C$5:$C$64, "EBNL", AF5:AF64)</f>
        <v>0</v>
      </c>
      <c r="AG67" s="61">
        <f>SUMIF($C$5:$C$64, "EBNL", AG5:AG64)</f>
        <v>670</v>
      </c>
      <c r="AH67" s="61">
        <f>SUMIF($C$5:$C$64, "EBNL", AH5:AH64)</f>
        <v>19</v>
      </c>
      <c r="AI67" s="61">
        <f>SUMIF($C$5:$C$64, "EBNL", AI5:AI64)</f>
        <v>2</v>
      </c>
      <c r="AJ67" s="61">
        <f>SUMIF($C$5:$C$64, "EBNL", AJ5:AJ64)</f>
        <v>102705</v>
      </c>
      <c r="AK67" s="61">
        <f>SUMIF($C$5:$C$64, "EBNL", AK5:AK64)</f>
        <v>169</v>
      </c>
      <c r="AL67" s="61">
        <f>SUMIF($C$5:$C$64, "EBNL", AL5:AL64)</f>
        <v>210</v>
      </c>
      <c r="AM67" s="207">
        <f t="shared" ref="AM67:AM69" si="37">AJ67/(AG67*365)</f>
        <v>0.41997546514005318</v>
      </c>
      <c r="AN67" s="61"/>
      <c r="AO67" s="61"/>
      <c r="AP67" s="61">
        <f>SUMIF($C$5:$C$64, "EBNL", AP5:AP64)</f>
        <v>359.41095890410952</v>
      </c>
      <c r="AQ67" s="61">
        <f>SUMIF($C$5:$C$64, "EBNL", AQ5:AQ64)</f>
        <v>17.586986301369862</v>
      </c>
      <c r="AR67" s="61">
        <f>SUMIF($C$5:$C$64, "EBNL", AR5:AR64)</f>
        <v>1.3246575342465752</v>
      </c>
      <c r="AS67" s="61">
        <f>SUMIF($C$5:$C$64, "EBNL", AS5:AS64)</f>
        <v>70</v>
      </c>
      <c r="AT67" s="61">
        <f>SUMIF($C$5:$C$64, "EBNL", AT5:AT64)</f>
        <v>30</v>
      </c>
      <c r="AU67" s="61">
        <f>SUMIF($C$5:$C$64, "EBNL", AU5:AU64)</f>
        <v>48</v>
      </c>
      <c r="AV67" s="61">
        <f>SUMIF($C$5:$C$64, "EBNL", AV5:AV64)</f>
        <v>302016</v>
      </c>
      <c r="AW67" s="61">
        <f>SUMIF($C$5:$C$64, "EBNL", AW5:AW64)</f>
        <v>35665</v>
      </c>
      <c r="AX67" s="61">
        <f>SUMIF($C$5:$C$64, "EBNL", AX5:AX64)</f>
        <v>66793</v>
      </c>
      <c r="AY67" s="61">
        <f>SUMIF($C$5:$C$64, "EBNL", AY5:AY64)</f>
        <v>40160</v>
      </c>
      <c r="AZ67" s="61">
        <f>SUMIF($C$5:$C$64, "EBNL", AZ5:AZ64)</f>
        <v>10629</v>
      </c>
      <c r="BA67" s="61">
        <f>SUMIF($C$5:$C$64, "EBNL", BA5:BA64)</f>
        <v>20453</v>
      </c>
      <c r="BB67" s="61">
        <f>SUMIF($C$5:$C$64, "EBNL", BB5:BB64)</f>
        <v>568</v>
      </c>
      <c r="BC67">
        <f>SUMIF($C$5:$C$64, "EBNL", BC5:BC64)</f>
        <v>42717</v>
      </c>
      <c r="BD67">
        <f>SUMIF($C$5:$C$64, "EBNL", BD5:BD64)</f>
        <v>35724</v>
      </c>
      <c r="BE67">
        <f>SUMIF($C$5:$C$64, "EBNL", BE5:BE64)</f>
        <v>6993</v>
      </c>
      <c r="BF67" s="61">
        <f>H67/((I67+J67+K67+L67+M67+N67)+($BF$1*(AG67+AH67+AI67))+($BF$2*(AS67+AT67+AU67)))</f>
        <v>116821.4218337316</v>
      </c>
      <c r="BJ67" s="116">
        <f>SUMIF($C$5:$C$64, "EBNL", BJ5:BJ64)</f>
        <v>131313040.97439562</v>
      </c>
      <c r="BK67" s="105">
        <f>BJ67/H67</f>
        <v>0.70686035107443335</v>
      </c>
      <c r="BL67" s="270">
        <f>1-BK67</f>
        <v>0.29313964892556665</v>
      </c>
      <c r="BM67" s="272">
        <f t="shared" ref="BM67:BM69" si="38">H67/BE67</f>
        <v>26565.054340054339</v>
      </c>
      <c r="BN67" s="116">
        <f t="shared" si="35"/>
        <v>12359.168446333884</v>
      </c>
    </row>
    <row r="68" spans="1:66" x14ac:dyDescent="0.25">
      <c r="A68" s="74" t="s">
        <v>460</v>
      </c>
      <c r="D68" s="61">
        <f>SUMIF($C$5:$C$64, "EBL", D5:D64)</f>
        <v>1108903</v>
      </c>
      <c r="E68" s="61">
        <f>SUMIF($C$5:$C$64, "EBL", E5:E64)</f>
        <v>30802</v>
      </c>
      <c r="F68" s="61">
        <f>SUMIF($C$5:$C$64, "EBL", F5:F64)</f>
        <v>0</v>
      </c>
      <c r="G68" s="61">
        <f>SUMIF($C$5:$C$64, "EBL", G5:G64)</f>
        <v>20864</v>
      </c>
      <c r="H68" s="61">
        <f>SUMIF($C$5:$C$64, "EBL", H5:H64)</f>
        <v>23040488</v>
      </c>
      <c r="I68" s="61">
        <f>SUMIF($C$5:$C$64, "EBL", I5:I64)</f>
        <v>3121</v>
      </c>
      <c r="J68" s="61">
        <f>SUMIF($C$5:$C$64, "EBL", J5:J64)</f>
        <v>0</v>
      </c>
      <c r="K68" s="61">
        <f>SUMIF($C$5:$C$64, "EBL", K5:K64)</f>
        <v>0</v>
      </c>
      <c r="L68" s="61">
        <f>SUMIF($C$5:$C$64, "EBL", L5:L64)</f>
        <v>108</v>
      </c>
      <c r="M68" s="61">
        <f>SUMIF($C$5:$C$64, "EBL", M5:M64)</f>
        <v>32</v>
      </c>
      <c r="N68" s="61">
        <f>SUMIF($C$5:$C$64, "EBL", N5:N64)</f>
        <v>15</v>
      </c>
      <c r="O68" s="61">
        <f>SUMIF($C$5:$C$64, "EBL", O5:O64)</f>
        <v>1053667</v>
      </c>
      <c r="P68" s="61">
        <f>SUMIF($C$5:$C$64, "EBL", P5:P64)</f>
        <v>0</v>
      </c>
      <c r="Q68" s="61">
        <f>SUMIF($C$5:$C$64, "EBL", Q5:Q64)</f>
        <v>0</v>
      </c>
      <c r="R68" s="61">
        <f>SUMIF($C$5:$C$64, "EBL", R5:R64)</f>
        <v>35214</v>
      </c>
      <c r="S68" s="61">
        <f>SUMIF($C$5:$C$64, "EBL", S5:S64)</f>
        <v>13561</v>
      </c>
      <c r="T68" s="61">
        <f>SUMIF($C$5:$C$64, "EBL", T5:T64)</f>
        <v>2747</v>
      </c>
      <c r="U68" s="207">
        <f t="shared" si="36"/>
        <v>0.92494678119499807</v>
      </c>
      <c r="V68" s="61"/>
      <c r="W68" s="61"/>
      <c r="X68" s="61"/>
      <c r="Y68" s="61"/>
      <c r="Z68" s="61"/>
      <c r="AA68" s="61">
        <f>SUMIF($C$5:$C$64, "EBL", AA5:AA64)</f>
        <v>79.13561643835618</v>
      </c>
      <c r="AB68" s="61">
        <f>SUMIF($C$5:$C$64, "EBL", AB5:AB64)</f>
        <v>0</v>
      </c>
      <c r="AC68" s="61">
        <f>SUMIF($C$5:$C$64, "EBL", AC5:AC64)</f>
        <v>0</v>
      </c>
      <c r="AD68" s="61">
        <f>SUMIF($C$5:$C$64, "EBL", AD5:AD64)</f>
        <v>2.8054794520547945</v>
      </c>
      <c r="AE68" s="61">
        <f>SUMIF($C$5:$C$64, "EBL", AE5:AE64)</f>
        <v>3.4835616438356163</v>
      </c>
      <c r="AF68" s="61">
        <f>SUMIF($C$5:$C$64, "EBL", AF5:AF64)</f>
        <v>5.9739726027397264</v>
      </c>
      <c r="AG68" s="61">
        <f>SUMIF($C$5:$C$64, "EBL", AG5:AG64)</f>
        <v>364</v>
      </c>
      <c r="AH68" s="61">
        <f>SUMIF($C$5:$C$64, "EBL", AH5:AH64)</f>
        <v>0</v>
      </c>
      <c r="AI68" s="61">
        <f>SUMIF($C$5:$C$64, "EBL", AI5:AI64)</f>
        <v>1</v>
      </c>
      <c r="AJ68" s="61">
        <f>SUMIF($C$5:$C$64, "EBL", AJ5:AJ64)</f>
        <v>105993</v>
      </c>
      <c r="AK68" s="61">
        <f>SUMIF($C$5:$C$64, "EBL", AK5:AK64)</f>
        <v>0</v>
      </c>
      <c r="AL68" s="61">
        <f>SUMIF($C$5:$C$64, "EBL", AL5:AL64)</f>
        <v>1031</v>
      </c>
      <c r="AM68" s="207">
        <f t="shared" si="37"/>
        <v>0.79777961764263139</v>
      </c>
      <c r="AN68" s="61"/>
      <c r="AO68" s="61"/>
      <c r="AP68" s="61">
        <f>SUMIF($C$5:$C$64, "EBL", AP5:AP64)</f>
        <v>128.26438356164385</v>
      </c>
      <c r="AQ68" s="61">
        <f>SUMIF($C$5:$C$64, "EBL", AQ5:AQ64)</f>
        <v>0</v>
      </c>
      <c r="AR68" s="61">
        <f>SUMIF($C$5:$C$64, "EBL", AR5:AR64)</f>
        <v>0</v>
      </c>
      <c r="AS68" s="61">
        <f>SUMIF($C$5:$C$64, "EBL", AS5:AS64)</f>
        <v>0</v>
      </c>
      <c r="AT68" s="61">
        <f>SUMIF($C$5:$C$64, "EBL", AT5:AT64)</f>
        <v>0</v>
      </c>
      <c r="AU68" s="61">
        <f>SUMIF($C$5:$C$64, "EBL", AU5:AU64)</f>
        <v>0</v>
      </c>
      <c r="AV68" s="61">
        <f>SUMIF($C$5:$C$64, "EBL", AV5:AV64)</f>
        <v>0</v>
      </c>
      <c r="AW68" s="61">
        <f>SUMIF($C$5:$C$64, "EBL", AW5:AW64)</f>
        <v>0</v>
      </c>
      <c r="AX68" s="61">
        <f>SUMIF($C$5:$C$64, "EBL", AX5:AX64)</f>
        <v>0</v>
      </c>
      <c r="AY68" s="61">
        <f>SUMIF($C$5:$C$64, "EBL", AY5:AY64)</f>
        <v>0</v>
      </c>
      <c r="AZ68" s="61">
        <f>SUMIF($C$5:$C$64, "EBL", AZ5:AZ64)</f>
        <v>0</v>
      </c>
      <c r="BA68" s="61">
        <f>SUMIF($C$5:$C$64, "EBL", BA5:BA64)</f>
        <v>0</v>
      </c>
      <c r="BB68" s="61">
        <f>SUMIF($C$5:$C$64, "EBL", BB5:BB64)</f>
        <v>0</v>
      </c>
      <c r="BC68">
        <f>SUMIF($C$5:$C$64, "EBL", BC5:BC64)</f>
        <v>21810</v>
      </c>
      <c r="BD68">
        <f>SUMIF($C$5:$C$64, "EBL", BD5:BD66)</f>
        <v>0</v>
      </c>
      <c r="BE68">
        <f>SUMIF($C$5:$C$64, "EBL", BE5:BE66)</f>
        <v>21810</v>
      </c>
      <c r="BF68" s="61">
        <f>H68/((I68+J68+K68+L68+M68+N68)+($BF$1*(AG68+AH68+AI68))+($BF$2*(AS68+AT68+AU68)))</f>
        <v>6392.1453738382579</v>
      </c>
      <c r="BJ68" s="116">
        <f>SUMIF($C$5:$C$64, "EBL", BJ5:BJ64)</f>
        <v>21901455.679130059</v>
      </c>
      <c r="BK68" s="105">
        <f>BJ68/H68</f>
        <v>0.95056388038005357</v>
      </c>
      <c r="BL68" s="270">
        <f>1-BK68</f>
        <v>4.9436119619946428E-2</v>
      </c>
      <c r="BM68" s="272">
        <f t="shared" si="38"/>
        <v>1056.4185236130215</v>
      </c>
      <c r="BN68" s="116">
        <f t="shared" si="35"/>
        <v>1056.4185236130215</v>
      </c>
    </row>
    <row r="69" spans="1:66" x14ac:dyDescent="0.25">
      <c r="A69" s="74" t="s">
        <v>320</v>
      </c>
      <c r="D69" s="61">
        <f>SUM(D5:D64)</f>
        <v>2486928</v>
      </c>
      <c r="E69" s="61">
        <f>SUM(E5:E64)</f>
        <v>104016</v>
      </c>
      <c r="F69" s="61">
        <f>SUM(F5:F64)</f>
        <v>2399417</v>
      </c>
      <c r="G69" s="61">
        <f>SUM(G5:G64)</f>
        <v>236457</v>
      </c>
      <c r="H69" s="61">
        <f>SUM(H5:H64)</f>
        <v>800438599</v>
      </c>
      <c r="I69" s="61">
        <f>SUM(I5:I64)</f>
        <v>6260</v>
      </c>
      <c r="J69" s="61">
        <f>SUM(J5:J64)</f>
        <v>197</v>
      </c>
      <c r="K69" s="61">
        <f>SUM(K5:K64)</f>
        <v>68</v>
      </c>
      <c r="L69" s="61">
        <f>SUM(L5:L64)</f>
        <v>227</v>
      </c>
      <c r="M69" s="61">
        <f>SUM(M5:M64)</f>
        <v>85</v>
      </c>
      <c r="N69" s="61">
        <f>SUM(N5:N64)</f>
        <v>83</v>
      </c>
      <c r="O69" s="61">
        <f>SUM(O5:O64)</f>
        <v>1995094</v>
      </c>
      <c r="P69" s="61">
        <f>SUM(P5:P64)</f>
        <v>24411</v>
      </c>
      <c r="Q69" s="61">
        <f>SUM(Q5:Q64)</f>
        <v>14562</v>
      </c>
      <c r="R69" s="61">
        <f>SUM(R5:R64)</f>
        <v>67141</v>
      </c>
      <c r="S69" s="61">
        <f>SUM(S5:S64)</f>
        <v>28910</v>
      </c>
      <c r="T69" s="61">
        <f>SUM(T5:T64)</f>
        <v>22823</v>
      </c>
      <c r="U69" s="207">
        <f>O69/(I69*365)</f>
        <v>0.87316468992078433</v>
      </c>
      <c r="V69" s="61"/>
      <c r="W69" s="61"/>
      <c r="X69" s="61"/>
      <c r="Y69" s="61"/>
      <c r="Z69" s="61"/>
      <c r="AA69" s="61">
        <f>SUM(AA5:AA64)</f>
        <v>354.77808219178075</v>
      </c>
      <c r="AB69" s="61">
        <f>SUM(AB5:AB64)</f>
        <v>111.32191780821917</v>
      </c>
      <c r="AC69" s="61">
        <f>SUM(AC5:AC64)</f>
        <v>24.898630136986299</v>
      </c>
      <c r="AD69" s="61">
        <f>SUM(AD5:AD64)</f>
        <v>22.464383561643835</v>
      </c>
      <c r="AE69" s="61">
        <f>SUM(AE5:AE64)</f>
        <v>9.1780821917808204</v>
      </c>
      <c r="AF69" s="61">
        <f>SUM(AF5:AF64)</f>
        <v>19.809589041095894</v>
      </c>
      <c r="AG69" s="61">
        <f>SUM(AG5:AG64)</f>
        <v>2728</v>
      </c>
      <c r="AH69" s="61">
        <f>SUM(AH5:AH64)</f>
        <v>53</v>
      </c>
      <c r="AI69" s="61">
        <f>SUM(AI5:AI64)</f>
        <v>20</v>
      </c>
      <c r="AJ69" s="61">
        <f>SUM(AJ5:AJ64)</f>
        <v>441144</v>
      </c>
      <c r="AK69" s="61">
        <f>SUM(AK5:AK64)</f>
        <v>668</v>
      </c>
      <c r="AL69" s="61">
        <f>SUM(AL5:AL64)</f>
        <v>8275</v>
      </c>
      <c r="AM69" s="207">
        <f t="shared" si="37"/>
        <v>0.44304021210782146</v>
      </c>
      <c r="AN69" s="61"/>
      <c r="AO69" s="61"/>
      <c r="AP69" s="61">
        <f>SUM(AP5:AP64)</f>
        <v>1461.304109589041</v>
      </c>
      <c r="AQ69" s="61">
        <f>SUM(AQ5:AQ64)</f>
        <v>48.519863013698625</v>
      </c>
      <c r="AR69" s="61">
        <f>SUM(AR5:AR64)</f>
        <v>3.5123287671232881</v>
      </c>
      <c r="AS69" s="61">
        <f>SUM(AS5:AS64)</f>
        <v>274</v>
      </c>
      <c r="AT69" s="61">
        <f>SUM(AT5:AT64)</f>
        <v>141</v>
      </c>
      <c r="AU69" s="61">
        <f>SUM(AU5:AU64)</f>
        <v>163</v>
      </c>
      <c r="AV69" s="61">
        <f>SUM(AV5:AV64)</f>
        <v>1120801</v>
      </c>
      <c r="AW69" s="61">
        <f>SUM(AW5:AW64)</f>
        <v>283558</v>
      </c>
      <c r="AX69" s="61">
        <f>SUM(AX5:AX64)</f>
        <v>261331</v>
      </c>
      <c r="AY69" s="61">
        <f>SUM(AY5:AY64)</f>
        <v>226580</v>
      </c>
      <c r="AZ69" s="61">
        <f>SUM(AZ5:AZ64)</f>
        <v>36727</v>
      </c>
      <c r="BA69" s="61">
        <f>SUM(BA5:BA64)</f>
        <v>95612</v>
      </c>
      <c r="BB69" s="61">
        <f>SUM(BB5:BB64)</f>
        <v>8335</v>
      </c>
      <c r="BC69">
        <f>BC66+BC67+BC68</f>
        <v>212210</v>
      </c>
      <c r="BD69">
        <f>BD66+BD67+BD68</f>
        <v>160293</v>
      </c>
      <c r="BE69">
        <f>BE66+BE67+BE68</f>
        <v>51917</v>
      </c>
      <c r="BF69" s="61">
        <f>H69/((I69+J69+K69+L69+M69+N69)+($BF$1*(AG69+AH69+AI69))+($BF$2*(AS69+AT69+AU69)))</f>
        <v>83632.094933104876</v>
      </c>
      <c r="BH69" s="116">
        <f>SUM(BH5:BH64)</f>
        <v>58170680.876134872</v>
      </c>
      <c r="BI69" s="116">
        <f>SUM(BI5:BI64)</f>
        <v>162856155.8240712</v>
      </c>
      <c r="BJ69" s="116">
        <f>BJ66+BJ67+BJ68</f>
        <v>579411762.29979384</v>
      </c>
      <c r="BK69" s="105">
        <f>BJ69/H69</f>
        <v>0.7238678432345238</v>
      </c>
      <c r="BL69" s="270">
        <f>1-BK69</f>
        <v>0.2761321567654762</v>
      </c>
      <c r="BM69" s="272">
        <f t="shared" si="38"/>
        <v>15417.658936379221</v>
      </c>
      <c r="BN69" s="116">
        <f t="shared" si="35"/>
        <v>9097.6584263367004</v>
      </c>
    </row>
    <row r="70" spans="1:66" ht="38.25" x14ac:dyDescent="0.25">
      <c r="A70" s="74"/>
      <c r="D70" s="61"/>
      <c r="E70" s="61"/>
      <c r="F70" s="61"/>
      <c r="G70" s="61"/>
      <c r="H70" s="61"/>
      <c r="I70" s="61"/>
      <c r="AF70" s="127" t="s">
        <v>445</v>
      </c>
      <c r="AP70" s="241" t="s">
        <v>449</v>
      </c>
      <c r="AQ70" s="241"/>
      <c r="AR70" s="241"/>
    </row>
    <row r="71" spans="1:66" ht="45" customHeight="1" x14ac:dyDescent="0.25">
      <c r="A71" s="231" t="s">
        <v>393</v>
      </c>
      <c r="B71" s="232"/>
      <c r="C71" s="232"/>
      <c r="I71" s="123" t="s">
        <v>438</v>
      </c>
      <c r="N71" s="127" t="s">
        <v>442</v>
      </c>
      <c r="O71" s="123" t="s">
        <v>439</v>
      </c>
      <c r="T71" s="127" t="s">
        <v>441</v>
      </c>
      <c r="AA71" s="123" t="s">
        <v>444</v>
      </c>
      <c r="AB71" s="121">
        <f>+AA72/AF71</f>
        <v>0.65402826846200268</v>
      </c>
      <c r="AC71" s="125" t="s">
        <v>446</v>
      </c>
      <c r="AF71" s="27">
        <f>+SUM(AA5:AF64)</f>
        <v>542.45068493150677</v>
      </c>
      <c r="AG71" s="130" t="s">
        <v>399</v>
      </c>
      <c r="AH71" s="130" t="s">
        <v>400</v>
      </c>
      <c r="AI71" s="128" t="s">
        <v>450</v>
      </c>
      <c r="AP71" s="130" t="s">
        <v>399</v>
      </c>
      <c r="AQ71" s="130" t="s">
        <v>400</v>
      </c>
      <c r="AR71" s="128" t="s">
        <v>320</v>
      </c>
    </row>
    <row r="72" spans="1:66" x14ac:dyDescent="0.25">
      <c r="I72" s="117">
        <f>+SUM(I5:I64)</f>
        <v>6260</v>
      </c>
      <c r="J72" s="121">
        <f>+I72/N72</f>
        <v>0.90462427745664742</v>
      </c>
      <c r="K72" s="124" t="s">
        <v>440</v>
      </c>
      <c r="L72" s="116"/>
      <c r="M72" s="116"/>
      <c r="N72" s="27">
        <f>+SUM(I5:N64)</f>
        <v>6920</v>
      </c>
      <c r="O72" s="117">
        <f>+SUM(O5:O64)</f>
        <v>1995094</v>
      </c>
      <c r="P72" s="121">
        <f>+O72/T72</f>
        <v>0.92668308142211053</v>
      </c>
      <c r="Q72" s="124" t="s">
        <v>443</v>
      </c>
      <c r="R72" s="116"/>
      <c r="T72" s="27">
        <f>+SUM(O5:T64)</f>
        <v>2152941</v>
      </c>
      <c r="AA72" s="122">
        <f>+SUM(AA5:AA64)</f>
        <v>354.77808219178075</v>
      </c>
      <c r="AB72" s="125" t="s">
        <v>447</v>
      </c>
      <c r="AF72" s="141">
        <f>+AF71/N72</f>
        <v>7.8388827302240865E-2</v>
      </c>
      <c r="AG72" s="131">
        <f>+SUM(AG5:AG64)</f>
        <v>2728</v>
      </c>
      <c r="AH72" s="131">
        <f>+SUM(AH5:AH64)</f>
        <v>53</v>
      </c>
      <c r="AI72" s="129">
        <f>+AG72+AH72</f>
        <v>2781</v>
      </c>
      <c r="AJ72" s="242" t="s">
        <v>448</v>
      </c>
      <c r="AK72" s="242"/>
      <c r="AL72" s="242"/>
      <c r="AP72" s="131">
        <f>+SUM(AP5:AP64)</f>
        <v>1461.304109589041</v>
      </c>
      <c r="AQ72" s="131">
        <f>+SUM(AQ5:AQ64)</f>
        <v>48.519863013698625</v>
      </c>
      <c r="AR72" s="129">
        <f>+AP72+AQ72</f>
        <v>1509.8239726027396</v>
      </c>
      <c r="BA72" s="116">
        <v>1100</v>
      </c>
      <c r="BB72" s="105">
        <v>0.15</v>
      </c>
    </row>
    <row r="73" spans="1:66" x14ac:dyDescent="0.25">
      <c r="A73" s="233" t="s">
        <v>461</v>
      </c>
      <c r="B73" s="234"/>
      <c r="C73" s="234"/>
      <c r="I73" s="116">
        <f>+I72-65-129</f>
        <v>6066</v>
      </c>
      <c r="AA73" s="126">
        <f>+AA72/I72</f>
        <v>5.6673815046610343E-2</v>
      </c>
      <c r="AJ73" s="242"/>
      <c r="AK73" s="242"/>
      <c r="AL73" s="242"/>
      <c r="AO73" s="132" t="s">
        <v>451</v>
      </c>
      <c r="AP73" s="133">
        <f>+AP72/AG72</f>
        <v>0.53566866187281559</v>
      </c>
      <c r="AQ73" s="133">
        <f t="shared" ref="AQ73:AR73" si="39">+AQ72/AH72</f>
        <v>0.91546911346601179</v>
      </c>
      <c r="AR73" s="133">
        <f t="shared" si="39"/>
        <v>0.54290685818149576</v>
      </c>
      <c r="BA73" s="116">
        <f>+BA72*BB73/BB72</f>
        <v>6233.3333333333339</v>
      </c>
      <c r="BB73" s="105">
        <v>0.85</v>
      </c>
      <c r="BF73" s="74" t="s">
        <v>456</v>
      </c>
    </row>
    <row r="74" spans="1:66" ht="15" customHeight="1" x14ac:dyDescent="0.25">
      <c r="A74" s="234"/>
      <c r="B74" s="234"/>
      <c r="C74" s="234"/>
      <c r="BF74" s="74" t="s">
        <v>457</v>
      </c>
    </row>
    <row r="75" spans="1:66" ht="30" x14ac:dyDescent="0.25">
      <c r="A75" s="234"/>
      <c r="B75" s="234"/>
      <c r="C75" s="234"/>
      <c r="Z75" s="74"/>
      <c r="AA75" s="150" t="s">
        <v>453</v>
      </c>
      <c r="AB75" s="150" t="s">
        <v>428</v>
      </c>
      <c r="AC75" s="150" t="s">
        <v>429</v>
      </c>
      <c r="AD75" s="150" t="s">
        <v>430</v>
      </c>
      <c r="AE75" s="150" t="s">
        <v>431</v>
      </c>
      <c r="AF75" s="150" t="s">
        <v>432</v>
      </c>
      <c r="AP75" s="113" t="s">
        <v>434</v>
      </c>
      <c r="AQ75" s="113" t="s">
        <v>435</v>
      </c>
      <c r="AR75" s="113" t="s">
        <v>436</v>
      </c>
    </row>
    <row r="76" spans="1:66" x14ac:dyDescent="0.25">
      <c r="Z76" s="151" t="s">
        <v>342</v>
      </c>
      <c r="AA76" s="152">
        <f>AA66/I66</f>
        <v>8.2166132322937901E-2</v>
      </c>
      <c r="AB76" s="152">
        <f t="shared" ref="AB76:AF76" si="40">AB66/J66</f>
        <v>0.66861108591127638</v>
      </c>
      <c r="AC76" s="152">
        <f t="shared" si="40"/>
        <v>0.34167544783983139</v>
      </c>
      <c r="AD76" s="152">
        <f t="shared" si="40"/>
        <v>0.27767630644342972</v>
      </c>
      <c r="AE76" s="152">
        <f t="shared" si="40"/>
        <v>7.759871071716358E-2</v>
      </c>
      <c r="AF76" s="152">
        <f t="shared" si="40"/>
        <v>0.20346494762288481</v>
      </c>
      <c r="AO76" s="151" t="s">
        <v>342</v>
      </c>
      <c r="AP76" s="152">
        <f>AP66/AG66</f>
        <v>0.57475133832543546</v>
      </c>
      <c r="AQ76" s="152">
        <f t="shared" ref="AQ76:AR78" si="41">AQ66/AH66</f>
        <v>0.90979049153908154</v>
      </c>
      <c r="AR76" s="152">
        <f t="shared" si="41"/>
        <v>0.12868654311039485</v>
      </c>
    </row>
    <row r="77" spans="1:66" x14ac:dyDescent="0.25">
      <c r="Z77" s="151" t="s">
        <v>346</v>
      </c>
      <c r="AA77" s="152">
        <f>AA67/I67</f>
        <v>0.10462871330103998</v>
      </c>
      <c r="AB77" s="152">
        <f t="shared" ref="AB77:AF77" si="42">AB67/J67</f>
        <v>0.22525312686122689</v>
      </c>
      <c r="AC77" s="152">
        <f t="shared" si="42"/>
        <v>0.4457191780821918</v>
      </c>
      <c r="AD77" s="152">
        <f t="shared" si="42"/>
        <v>7.1759747102212848E-2</v>
      </c>
      <c r="AE77" s="152">
        <f t="shared" si="42"/>
        <v>0.16085075702956023</v>
      </c>
      <c r="AF77" s="152" t="e">
        <f t="shared" si="42"/>
        <v>#DIV/0!</v>
      </c>
      <c r="AO77" s="151" t="s">
        <v>346</v>
      </c>
      <c r="AP77" s="152">
        <f t="shared" ref="AP77:AP78" si="43">AP67/AG67</f>
        <v>0.53643426702105901</v>
      </c>
      <c r="AQ77" s="152">
        <f t="shared" si="41"/>
        <v>0.92563085796683486</v>
      </c>
      <c r="AR77" s="152">
        <f t="shared" si="41"/>
        <v>0.66232876712328759</v>
      </c>
    </row>
    <row r="78" spans="1:66" x14ac:dyDescent="0.25">
      <c r="Z78" s="151" t="s">
        <v>344</v>
      </c>
      <c r="AA78" s="152">
        <f>AA68/I68</f>
        <v>2.5355852751796276E-2</v>
      </c>
      <c r="AB78" s="152" t="e">
        <f t="shared" ref="AB78:AF78" si="44">AB68/J68</f>
        <v>#DIV/0!</v>
      </c>
      <c r="AC78" s="152" t="e">
        <f t="shared" si="44"/>
        <v>#DIV/0!</v>
      </c>
      <c r="AD78" s="152">
        <f t="shared" si="44"/>
        <v>2.5976661593099949E-2</v>
      </c>
      <c r="AE78" s="152">
        <f t="shared" si="44"/>
        <v>0.10886130136986301</v>
      </c>
      <c r="AF78" s="152">
        <f t="shared" si="44"/>
        <v>0.39826484018264841</v>
      </c>
      <c r="AO78" s="151" t="s">
        <v>344</v>
      </c>
      <c r="AP78" s="152">
        <f t="shared" si="43"/>
        <v>0.3523746801144062</v>
      </c>
      <c r="AQ78" s="152" t="e">
        <f t="shared" si="41"/>
        <v>#DIV/0!</v>
      </c>
      <c r="AR78" s="152">
        <f t="shared" si="41"/>
        <v>0</v>
      </c>
    </row>
  </sheetData>
  <autoFilter ref="A4:BG78" xr:uid="{5D573414-2AFD-43EA-885C-4A0D35180113}"/>
  <mergeCells count="17">
    <mergeCell ref="AG2:AR2"/>
    <mergeCell ref="AP70:AR70"/>
    <mergeCell ref="AJ72:AL73"/>
    <mergeCell ref="AB65:AF65"/>
    <mergeCell ref="AS2:BB2"/>
    <mergeCell ref="AS3:AU3"/>
    <mergeCell ref="AV3:BB3"/>
    <mergeCell ref="AJ3:AO3"/>
    <mergeCell ref="I2:AF2"/>
    <mergeCell ref="AA3:AF3"/>
    <mergeCell ref="AP3:AR3"/>
    <mergeCell ref="AS65:BB65"/>
    <mergeCell ref="A71:C71"/>
    <mergeCell ref="A73:C75"/>
    <mergeCell ref="I3:N3"/>
    <mergeCell ref="AG3:AI3"/>
    <mergeCell ref="O3:Z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23DB5-F32B-462E-8172-7C8343C8CDC6}">
  <sheetPr codeName="Feuil8"/>
  <dimension ref="A1:AX68"/>
  <sheetViews>
    <sheetView topLeftCell="AB43" workbookViewId="0">
      <selection activeCell="AO75" sqref="AO75"/>
    </sheetView>
  </sheetViews>
  <sheetFormatPr baseColWidth="10" defaultRowHeight="15" x14ac:dyDescent="0.25"/>
  <sheetData>
    <row r="1" spans="1:50" x14ac:dyDescent="0.25">
      <c r="W1" s="105">
        <f>synthèse!G4</f>
        <v>0.9</v>
      </c>
      <c r="AL1" s="105">
        <f>synthèse!G5</f>
        <v>0.95</v>
      </c>
    </row>
    <row r="2" spans="1:50" x14ac:dyDescent="0.25">
      <c r="E2" s="285" t="s">
        <v>402</v>
      </c>
      <c r="F2" s="286"/>
      <c r="G2" s="286"/>
      <c r="H2" s="286"/>
      <c r="I2" s="286"/>
      <c r="J2" s="286"/>
      <c r="K2" s="286"/>
      <c r="L2" s="286"/>
      <c r="M2" s="286"/>
      <c r="N2" s="286"/>
      <c r="O2" s="286"/>
      <c r="P2" s="286"/>
      <c r="Q2" s="286"/>
      <c r="R2" s="286"/>
      <c r="S2" s="286"/>
      <c r="T2" s="286"/>
      <c r="U2" s="286"/>
      <c r="V2" s="286"/>
      <c r="W2" s="286"/>
      <c r="X2" s="286"/>
      <c r="Y2" s="286"/>
      <c r="Z2" s="286"/>
      <c r="AA2" s="286"/>
      <c r="AB2" s="287"/>
      <c r="AC2" s="238" t="s">
        <v>406</v>
      </c>
      <c r="AD2" s="239"/>
      <c r="AE2" s="239"/>
      <c r="AF2" s="239"/>
      <c r="AG2" s="239"/>
      <c r="AH2" s="239"/>
      <c r="AI2" s="239"/>
      <c r="AJ2" s="239"/>
      <c r="AK2" s="239"/>
      <c r="AL2" s="239"/>
      <c r="AM2" s="239"/>
      <c r="AN2" s="240"/>
      <c r="AO2" s="244" t="s">
        <v>408</v>
      </c>
      <c r="AP2" s="244"/>
      <c r="AQ2" s="244"/>
      <c r="AR2" s="244"/>
      <c r="AS2" s="244"/>
      <c r="AT2" s="244"/>
      <c r="AU2" s="244"/>
      <c r="AV2" s="244"/>
      <c r="AW2" s="244"/>
      <c r="AX2" s="244"/>
    </row>
    <row r="3" spans="1:50" ht="15" customHeight="1" x14ac:dyDescent="0.25">
      <c r="E3" s="235" t="s">
        <v>403</v>
      </c>
      <c r="F3" s="235"/>
      <c r="G3" s="235"/>
      <c r="H3" s="235"/>
      <c r="I3" s="235"/>
      <c r="J3" s="235"/>
      <c r="K3" s="237" t="s">
        <v>405</v>
      </c>
      <c r="L3" s="237"/>
      <c r="M3" s="237"/>
      <c r="N3" s="237"/>
      <c r="O3" s="237"/>
      <c r="P3" s="237"/>
      <c r="Q3" s="237"/>
      <c r="R3" s="237"/>
      <c r="S3" s="237"/>
      <c r="T3" s="237"/>
      <c r="U3" s="237"/>
      <c r="V3" s="237"/>
      <c r="W3" s="246" t="s">
        <v>433</v>
      </c>
      <c r="X3" s="246"/>
      <c r="Y3" s="246"/>
      <c r="Z3" s="246"/>
      <c r="AA3" s="246"/>
      <c r="AB3" s="246"/>
      <c r="AC3" s="236" t="s">
        <v>403</v>
      </c>
      <c r="AD3" s="236"/>
      <c r="AE3" s="236"/>
      <c r="AF3" s="245" t="s">
        <v>407</v>
      </c>
      <c r="AG3" s="245"/>
      <c r="AH3" s="245"/>
      <c r="AI3" s="245"/>
      <c r="AJ3" s="245"/>
      <c r="AK3" s="245"/>
      <c r="AL3" s="247" t="s">
        <v>433</v>
      </c>
      <c r="AM3" s="247"/>
      <c r="AN3" s="247"/>
      <c r="AO3" s="235" t="s">
        <v>403</v>
      </c>
      <c r="AP3" s="235"/>
      <c r="AQ3" s="235"/>
      <c r="AR3" s="237" t="s">
        <v>412</v>
      </c>
      <c r="AS3" s="237"/>
      <c r="AT3" s="237"/>
      <c r="AU3" s="237"/>
      <c r="AV3" s="237"/>
      <c r="AW3" s="237"/>
      <c r="AX3" s="237"/>
    </row>
    <row r="4" spans="1:50" s="79" customFormat="1" ht="60" customHeight="1" x14ac:dyDescent="0.25">
      <c r="E4" s="113" t="s">
        <v>452</v>
      </c>
      <c r="F4" s="113" t="s">
        <v>394</v>
      </c>
      <c r="G4" s="113" t="s">
        <v>395</v>
      </c>
      <c r="H4" s="113" t="s">
        <v>396</v>
      </c>
      <c r="I4" s="113" t="s">
        <v>397</v>
      </c>
      <c r="J4" s="113" t="s">
        <v>398</v>
      </c>
      <c r="K4" s="113" t="s">
        <v>419</v>
      </c>
      <c r="L4" s="113" t="s">
        <v>394</v>
      </c>
      <c r="M4" s="113" t="s">
        <v>395</v>
      </c>
      <c r="N4" s="113" t="s">
        <v>396</v>
      </c>
      <c r="O4" s="113" t="s">
        <v>397</v>
      </c>
      <c r="P4" s="113" t="s">
        <v>398</v>
      </c>
      <c r="Q4" s="113" t="s">
        <v>417</v>
      </c>
      <c r="R4" s="113" t="s">
        <v>420</v>
      </c>
      <c r="S4" s="113" t="s">
        <v>421</v>
      </c>
      <c r="T4" s="113" t="s">
        <v>422</v>
      </c>
      <c r="U4" s="113" t="s">
        <v>423</v>
      </c>
      <c r="V4" s="113" t="s">
        <v>424</v>
      </c>
      <c r="W4" s="113" t="s">
        <v>453</v>
      </c>
      <c r="X4" s="113" t="s">
        <v>428</v>
      </c>
      <c r="Y4" s="113" t="s">
        <v>429</v>
      </c>
      <c r="Z4" s="113" t="s">
        <v>430</v>
      </c>
      <c r="AA4" s="113" t="s">
        <v>431</v>
      </c>
      <c r="AB4" s="113" t="s">
        <v>432</v>
      </c>
      <c r="AC4" s="82" t="s">
        <v>399</v>
      </c>
      <c r="AD4" s="82" t="s">
        <v>400</v>
      </c>
      <c r="AE4" s="82" t="s">
        <v>401</v>
      </c>
      <c r="AF4" s="82" t="s">
        <v>399</v>
      </c>
      <c r="AG4" s="82" t="s">
        <v>400</v>
      </c>
      <c r="AH4" s="82" t="s">
        <v>401</v>
      </c>
      <c r="AI4" s="82" t="s">
        <v>418</v>
      </c>
      <c r="AJ4" s="82" t="s">
        <v>425</v>
      </c>
      <c r="AK4" s="82" t="s">
        <v>426</v>
      </c>
      <c r="AL4" s="82" t="s">
        <v>434</v>
      </c>
      <c r="AM4" s="82" t="s">
        <v>435</v>
      </c>
      <c r="AN4" s="82" t="s">
        <v>436</v>
      </c>
      <c r="AO4" s="113" t="s">
        <v>409</v>
      </c>
      <c r="AP4" s="113" t="s">
        <v>410</v>
      </c>
      <c r="AQ4" s="113" t="s">
        <v>411</v>
      </c>
      <c r="AR4" s="113" t="s">
        <v>409</v>
      </c>
      <c r="AS4" s="113" t="s">
        <v>410</v>
      </c>
      <c r="AT4" s="113" t="s">
        <v>411</v>
      </c>
      <c r="AU4" s="113" t="s">
        <v>413</v>
      </c>
      <c r="AV4" s="113" t="s">
        <v>414</v>
      </c>
      <c r="AW4" s="113" t="s">
        <v>415</v>
      </c>
      <c r="AX4" s="113" t="s">
        <v>416</v>
      </c>
    </row>
    <row r="5" spans="1:50" x14ac:dyDescent="0.25">
      <c r="A5" s="273">
        <v>90781816</v>
      </c>
      <c r="B5" t="str">
        <f>VLOOKUP(infpen!A5,scansanté2024!$B$12:$L$69,2)</f>
        <v>CH ARIEGE COUSERANS</v>
      </c>
      <c r="C5" t="s">
        <v>59</v>
      </c>
      <c r="D5" s="74" t="str">
        <f>VLOOKUP(A5,dotpop24!$B$8:$U$67,3)</f>
        <v>EPS</v>
      </c>
      <c r="E5">
        <v>7</v>
      </c>
      <c r="F5">
        <v>7</v>
      </c>
      <c r="G5">
        <v>0</v>
      </c>
      <c r="H5">
        <v>0</v>
      </c>
      <c r="I5">
        <v>0</v>
      </c>
      <c r="J5">
        <v>0</v>
      </c>
      <c r="K5">
        <v>2104</v>
      </c>
      <c r="L5">
        <v>1965</v>
      </c>
      <c r="M5">
        <v>0</v>
      </c>
      <c r="N5">
        <v>0</v>
      </c>
      <c r="O5">
        <v>0</v>
      </c>
      <c r="P5">
        <v>0</v>
      </c>
      <c r="Q5" s="105">
        <f>K5/(E5*365)</f>
        <v>0.82348336594911942</v>
      </c>
      <c r="R5" s="105">
        <f t="shared" ref="R5:V5" si="0">L5/(F5*365)</f>
        <v>0.7690802348336595</v>
      </c>
      <c r="S5" s="105" t="e">
        <f t="shared" si="0"/>
        <v>#DIV/0!</v>
      </c>
      <c r="T5" s="105" t="e">
        <f t="shared" si="0"/>
        <v>#DIV/0!</v>
      </c>
      <c r="U5" s="105" t="e">
        <f t="shared" si="0"/>
        <v>#DIV/0!</v>
      </c>
      <c r="V5" s="105" t="e">
        <f t="shared" si="0"/>
        <v>#DIV/0!</v>
      </c>
      <c r="W5" s="288">
        <f>IFERROR(MAX(0, ((E5*365*$W$1 - E5*365*Q5) / 365)), 0)</f>
        <v>0.53561643835616435</v>
      </c>
      <c r="X5" s="288">
        <f t="shared" ref="X5:AB5" si="1">IFERROR(MAX(0, ((F5*365*$W$1 - F5*365*R5) / 365)), 0)</f>
        <v>0.91643835616438352</v>
      </c>
      <c r="Y5" s="288">
        <f t="shared" si="1"/>
        <v>0</v>
      </c>
      <c r="Z5" s="288">
        <f t="shared" si="1"/>
        <v>0</v>
      </c>
      <c r="AA5" s="288">
        <f t="shared" si="1"/>
        <v>0</v>
      </c>
      <c r="AB5" s="288">
        <f t="shared" si="1"/>
        <v>0</v>
      </c>
      <c r="AC5">
        <v>20</v>
      </c>
      <c r="AD5">
        <v>0</v>
      </c>
      <c r="AE5">
        <v>0</v>
      </c>
      <c r="AF5">
        <v>1936</v>
      </c>
      <c r="AG5">
        <v>0</v>
      </c>
      <c r="AH5">
        <v>0</v>
      </c>
      <c r="AI5" s="284">
        <f>AF5/(AC5*365)</f>
        <v>0.2652054794520548</v>
      </c>
      <c r="AJ5" s="284" t="e">
        <f>AG5/(AD5*365)</f>
        <v>#DIV/0!</v>
      </c>
      <c r="AK5" s="284" t="e">
        <f t="shared" ref="AK5" si="2">AH5/(AE5*365)</f>
        <v>#DIV/0!</v>
      </c>
      <c r="AL5" s="272">
        <f>IFERROR(MAX(0, ((AC5*365*$AL$1 - AC5*365*AI5) / 365)), 0)</f>
        <v>13.695890410958905</v>
      </c>
      <c r="AM5" s="272">
        <f t="shared" ref="AM5:AN5" si="3">IFERROR(MAX(0, ((AD5*365*$AL$1 - AD5*365*AJ5) / 365)), 0)</f>
        <v>0</v>
      </c>
      <c r="AN5" s="272">
        <f t="shared" si="3"/>
        <v>0</v>
      </c>
      <c r="AO5">
        <v>3</v>
      </c>
      <c r="AP5">
        <v>1</v>
      </c>
      <c r="AQ5">
        <v>1</v>
      </c>
      <c r="AR5">
        <v>8248</v>
      </c>
      <c r="AS5">
        <v>160</v>
      </c>
      <c r="AT5">
        <v>69</v>
      </c>
      <c r="AU5">
        <v>11</v>
      </c>
      <c r="AV5">
        <v>3</v>
      </c>
      <c r="AW5">
        <v>203</v>
      </c>
      <c r="AX5">
        <v>11</v>
      </c>
    </row>
    <row r="6" spans="1:50" x14ac:dyDescent="0.25">
      <c r="A6" s="273">
        <v>90781816</v>
      </c>
      <c r="B6" t="str">
        <f>VLOOKUP(infpen!A6,scansanté2024!$B$12:$L$69,2)</f>
        <v>CH ARIEGE COUSERANS</v>
      </c>
      <c r="C6" t="s">
        <v>60</v>
      </c>
      <c r="D6" s="74" t="str">
        <f>VLOOKUP(A6,dotpop24!$B$8:$U$67,3)</f>
        <v>EPS</v>
      </c>
      <c r="E6">
        <v>0</v>
      </c>
      <c r="F6">
        <v>0</v>
      </c>
      <c r="G6">
        <v>0</v>
      </c>
      <c r="H6">
        <v>0</v>
      </c>
      <c r="I6">
        <v>0</v>
      </c>
      <c r="J6">
        <v>0</v>
      </c>
      <c r="K6">
        <v>0</v>
      </c>
      <c r="L6">
        <v>0</v>
      </c>
      <c r="M6">
        <v>0</v>
      </c>
      <c r="N6">
        <v>0</v>
      </c>
      <c r="O6">
        <v>0</v>
      </c>
      <c r="P6">
        <v>0</v>
      </c>
      <c r="Q6" s="105" t="e">
        <f t="shared" ref="Q6:Q53" si="4">K6/(E6*365)</f>
        <v>#DIV/0!</v>
      </c>
      <c r="R6" s="105" t="e">
        <f t="shared" ref="R6:R53" si="5">L6/(F6*365)</f>
        <v>#DIV/0!</v>
      </c>
      <c r="S6" s="105" t="e">
        <f t="shared" ref="S6:S53" si="6">M6/(G6*365)</f>
        <v>#DIV/0!</v>
      </c>
      <c r="T6" s="105" t="e">
        <f t="shared" ref="T6:T53" si="7">N6/(H6*365)</f>
        <v>#DIV/0!</v>
      </c>
      <c r="U6" s="105" t="e">
        <f t="shared" ref="U6:U53" si="8">O6/(I6*365)</f>
        <v>#DIV/0!</v>
      </c>
      <c r="V6" s="105" t="e">
        <f t="shared" ref="V6:V53" si="9">P6/(J6*365)</f>
        <v>#DIV/0!</v>
      </c>
      <c r="W6" s="288">
        <f t="shared" ref="W6:W53" si="10">IFERROR(MAX(0, ((E6*365*$W$1 - E6*365*Q6) / 365)), 0)</f>
        <v>0</v>
      </c>
      <c r="X6" s="288">
        <f t="shared" ref="X6:X53" si="11">IFERROR(MAX(0, ((F6*365*$W$1 - F6*365*R6) / 365)), 0)</f>
        <v>0</v>
      </c>
      <c r="Y6" s="288">
        <f t="shared" ref="Y6:Y53" si="12">IFERROR(MAX(0, ((G6*365*$W$1 - G6*365*S6) / 365)), 0)</f>
        <v>0</v>
      </c>
      <c r="Z6" s="288">
        <f t="shared" ref="Z6:Z53" si="13">IFERROR(MAX(0, ((H6*365*$W$1 - H6*365*T6) / 365)), 0)</f>
        <v>0</v>
      </c>
      <c r="AA6" s="288">
        <f t="shared" ref="AA6:AA53" si="14">IFERROR(MAX(0, ((I6*365*$W$1 - I6*365*U6) / 365)), 0)</f>
        <v>0</v>
      </c>
      <c r="AB6" s="288">
        <f t="shared" ref="AB6:AB53" si="15">IFERROR(MAX(0, ((J6*365*$W$1 - J6*365*V6) / 365)), 0)</f>
        <v>0</v>
      </c>
      <c r="AC6">
        <v>0</v>
      </c>
      <c r="AD6">
        <v>0</v>
      </c>
      <c r="AE6">
        <v>0</v>
      </c>
      <c r="AF6">
        <v>0</v>
      </c>
      <c r="AG6">
        <v>0</v>
      </c>
      <c r="AH6">
        <v>0</v>
      </c>
      <c r="AI6" s="284" t="e">
        <f t="shared" ref="AI6:AI53" si="16">AF6/(AC6*365)</f>
        <v>#DIV/0!</v>
      </c>
      <c r="AJ6" s="284" t="e">
        <f t="shared" ref="AJ6:AJ53" si="17">AG6/(AD6*365)</f>
        <v>#DIV/0!</v>
      </c>
      <c r="AK6" s="284" t="e">
        <f t="shared" ref="AK6:AK53" si="18">AH6/(AE6*365)</f>
        <v>#DIV/0!</v>
      </c>
      <c r="AL6" s="272">
        <f t="shared" ref="AL6:AL53" si="19">IFERROR(MAX(0, ((AC6*365*$AL$1 - AC6*365*AI6) / 365)), 0)</f>
        <v>0</v>
      </c>
      <c r="AM6" s="272">
        <f t="shared" ref="AM6:AM53" si="20">IFERROR(MAX(0, ((AD6*365*$AL$1 - AD6*365*AJ6) / 365)), 0)</f>
        <v>0</v>
      </c>
      <c r="AN6" s="272">
        <f t="shared" ref="AN6:AN53" si="21">IFERROR(MAX(0, ((AE6*365*$AL$1 - AE6*365*AK6) / 365)), 0)</f>
        <v>0</v>
      </c>
      <c r="AO6" t="s">
        <v>58</v>
      </c>
      <c r="AP6" t="s">
        <v>58</v>
      </c>
      <c r="AQ6" t="s">
        <v>58</v>
      </c>
      <c r="AR6" t="s">
        <v>58</v>
      </c>
      <c r="AS6" t="s">
        <v>58</v>
      </c>
      <c r="AT6" t="s">
        <v>58</v>
      </c>
      <c r="AU6">
        <v>2736</v>
      </c>
      <c r="AV6" t="s">
        <v>58</v>
      </c>
      <c r="AW6" t="s">
        <v>58</v>
      </c>
      <c r="AX6" t="s">
        <v>58</v>
      </c>
    </row>
    <row r="7" spans="1:50" x14ac:dyDescent="0.25">
      <c r="A7" s="279">
        <v>310780895</v>
      </c>
      <c r="B7" t="str">
        <f>VLOOKUP(infpen!A7,scansanté2024!$B$12:$L$69,2)</f>
        <v>HDJ PSY INF JUV LES AUTANS ARSEAA</v>
      </c>
      <c r="C7" t="s">
        <v>59</v>
      </c>
      <c r="D7" s="74" t="str">
        <f>VLOOKUP(A7,dotpop24!$B$8:$U$67,3)</f>
        <v>EPS</v>
      </c>
      <c r="E7">
        <v>0</v>
      </c>
      <c r="F7">
        <v>0</v>
      </c>
      <c r="G7">
        <v>0</v>
      </c>
      <c r="H7">
        <v>0</v>
      </c>
      <c r="I7">
        <v>0</v>
      </c>
      <c r="J7">
        <v>0</v>
      </c>
      <c r="K7">
        <v>0</v>
      </c>
      <c r="L7">
        <v>0</v>
      </c>
      <c r="M7">
        <v>0</v>
      </c>
      <c r="N7">
        <v>0</v>
      </c>
      <c r="O7">
        <v>0</v>
      </c>
      <c r="P7">
        <v>0</v>
      </c>
      <c r="Q7" s="105" t="e">
        <f t="shared" si="4"/>
        <v>#DIV/0!</v>
      </c>
      <c r="R7" s="105" t="e">
        <f t="shared" si="5"/>
        <v>#DIV/0!</v>
      </c>
      <c r="S7" s="105" t="e">
        <f t="shared" si="6"/>
        <v>#DIV/0!</v>
      </c>
      <c r="T7" s="105" t="e">
        <f t="shared" si="7"/>
        <v>#DIV/0!</v>
      </c>
      <c r="U7" s="105" t="e">
        <f t="shared" si="8"/>
        <v>#DIV/0!</v>
      </c>
      <c r="V7" s="105" t="e">
        <f t="shared" si="9"/>
        <v>#DIV/0!</v>
      </c>
      <c r="W7" s="288">
        <f t="shared" si="10"/>
        <v>0</v>
      </c>
      <c r="X7" s="288">
        <f t="shared" si="11"/>
        <v>0</v>
      </c>
      <c r="Y7" s="288">
        <f t="shared" si="12"/>
        <v>0</v>
      </c>
      <c r="Z7" s="288">
        <f t="shared" si="13"/>
        <v>0</v>
      </c>
      <c r="AA7" s="288">
        <f t="shared" si="14"/>
        <v>0</v>
      </c>
      <c r="AB7" s="288">
        <f t="shared" si="15"/>
        <v>0</v>
      </c>
      <c r="AC7">
        <v>18</v>
      </c>
      <c r="AD7">
        <v>0</v>
      </c>
      <c r="AE7">
        <v>0</v>
      </c>
      <c r="AF7">
        <v>2395</v>
      </c>
      <c r="AG7">
        <v>0</v>
      </c>
      <c r="AH7">
        <v>0</v>
      </c>
      <c r="AI7" s="284">
        <f t="shared" si="16"/>
        <v>0.36453576864535769</v>
      </c>
      <c r="AJ7" s="284" t="e">
        <f t="shared" si="17"/>
        <v>#DIV/0!</v>
      </c>
      <c r="AK7" s="284" t="e">
        <f t="shared" si="18"/>
        <v>#DIV/0!</v>
      </c>
      <c r="AL7" s="272">
        <f t="shared" si="19"/>
        <v>10.538356164383561</v>
      </c>
      <c r="AM7" s="272">
        <f t="shared" si="20"/>
        <v>0</v>
      </c>
      <c r="AN7" s="272">
        <f t="shared" si="21"/>
        <v>0</v>
      </c>
      <c r="AO7">
        <v>2</v>
      </c>
      <c r="AP7" t="s">
        <v>58</v>
      </c>
      <c r="AQ7" t="s">
        <v>58</v>
      </c>
      <c r="AR7">
        <v>9334</v>
      </c>
      <c r="AS7" t="s">
        <v>58</v>
      </c>
      <c r="AT7" t="s">
        <v>58</v>
      </c>
      <c r="AU7">
        <v>59</v>
      </c>
      <c r="AV7">
        <v>43</v>
      </c>
      <c r="AW7">
        <v>6660</v>
      </c>
      <c r="AX7">
        <v>57</v>
      </c>
    </row>
    <row r="8" spans="1:50" x14ac:dyDescent="0.25">
      <c r="A8" s="273">
        <v>110786324</v>
      </c>
      <c r="B8" t="str">
        <f>VLOOKUP(infpen!A8,scansanté2024!$B$12:$L$69,2)</f>
        <v>A.S.M.</v>
      </c>
      <c r="C8" t="s">
        <v>59</v>
      </c>
      <c r="D8" s="74" t="str">
        <f>VLOOKUP(A8,dotpop24!$B$8:$U$67,3)</f>
        <v>EBNL</v>
      </c>
      <c r="E8">
        <v>10</v>
      </c>
      <c r="F8">
        <v>0</v>
      </c>
      <c r="G8">
        <v>0</v>
      </c>
      <c r="H8">
        <v>0</v>
      </c>
      <c r="I8">
        <v>0</v>
      </c>
      <c r="J8">
        <v>0</v>
      </c>
      <c r="K8">
        <v>2688</v>
      </c>
      <c r="L8">
        <v>0</v>
      </c>
      <c r="M8">
        <v>0</v>
      </c>
      <c r="N8">
        <v>0</v>
      </c>
      <c r="O8">
        <v>0</v>
      </c>
      <c r="P8">
        <v>0</v>
      </c>
      <c r="Q8" s="105">
        <f t="shared" si="4"/>
        <v>0.73643835616438358</v>
      </c>
      <c r="R8" s="105" t="e">
        <f t="shared" si="5"/>
        <v>#DIV/0!</v>
      </c>
      <c r="S8" s="105" t="e">
        <f t="shared" si="6"/>
        <v>#DIV/0!</v>
      </c>
      <c r="T8" s="105" t="e">
        <f t="shared" si="7"/>
        <v>#DIV/0!</v>
      </c>
      <c r="U8" s="105" t="e">
        <f t="shared" si="8"/>
        <v>#DIV/0!</v>
      </c>
      <c r="V8" s="105" t="e">
        <f t="shared" si="9"/>
        <v>#DIV/0!</v>
      </c>
      <c r="W8" s="288">
        <f t="shared" si="10"/>
        <v>1.6356164383561644</v>
      </c>
      <c r="X8" s="288">
        <f t="shared" si="11"/>
        <v>0</v>
      </c>
      <c r="Y8" s="288">
        <f t="shared" si="12"/>
        <v>0</v>
      </c>
      <c r="Z8" s="288">
        <f t="shared" si="13"/>
        <v>0</v>
      </c>
      <c r="AA8" s="288">
        <f t="shared" si="14"/>
        <v>0</v>
      </c>
      <c r="AB8" s="288">
        <f t="shared" si="15"/>
        <v>0</v>
      </c>
      <c r="AC8">
        <v>20</v>
      </c>
      <c r="AD8">
        <v>0</v>
      </c>
      <c r="AE8">
        <v>0</v>
      </c>
      <c r="AF8">
        <v>2811</v>
      </c>
      <c r="AG8">
        <v>0</v>
      </c>
      <c r="AH8">
        <v>0</v>
      </c>
      <c r="AI8" s="284">
        <f t="shared" si="16"/>
        <v>0.38506849315068492</v>
      </c>
      <c r="AJ8" s="284" t="e">
        <f t="shared" si="17"/>
        <v>#DIV/0!</v>
      </c>
      <c r="AK8" s="284" t="e">
        <f t="shared" si="18"/>
        <v>#DIV/0!</v>
      </c>
      <c r="AL8" s="272">
        <f t="shared" si="19"/>
        <v>11.298630136986301</v>
      </c>
      <c r="AM8" s="272">
        <f t="shared" si="20"/>
        <v>0</v>
      </c>
      <c r="AN8" s="272">
        <f t="shared" si="21"/>
        <v>0</v>
      </c>
      <c r="AO8">
        <v>3</v>
      </c>
      <c r="AP8" t="s">
        <v>58</v>
      </c>
      <c r="AQ8">
        <v>3</v>
      </c>
      <c r="AR8">
        <v>20622</v>
      </c>
      <c r="AS8" t="s">
        <v>58</v>
      </c>
      <c r="AT8">
        <v>185</v>
      </c>
      <c r="AU8">
        <v>831</v>
      </c>
      <c r="AV8">
        <v>104</v>
      </c>
      <c r="AW8">
        <v>29</v>
      </c>
      <c r="AX8">
        <v>191</v>
      </c>
    </row>
    <row r="9" spans="1:50" x14ac:dyDescent="0.25">
      <c r="A9" s="273">
        <v>110786324</v>
      </c>
      <c r="B9" t="str">
        <f>VLOOKUP(infpen!A9,scansanté2024!$B$12:$L$69,2)</f>
        <v>A.S.M.</v>
      </c>
      <c r="C9" t="s">
        <v>60</v>
      </c>
      <c r="D9" s="74" t="str">
        <f>VLOOKUP(A9,dotpop24!$B$8:$U$67,3)</f>
        <v>EBNL</v>
      </c>
      <c r="E9">
        <v>0</v>
      </c>
      <c r="F9">
        <v>0</v>
      </c>
      <c r="G9">
        <v>0</v>
      </c>
      <c r="H9">
        <v>0</v>
      </c>
      <c r="I9">
        <v>0</v>
      </c>
      <c r="J9">
        <v>0</v>
      </c>
      <c r="K9">
        <v>0</v>
      </c>
      <c r="L9">
        <v>0</v>
      </c>
      <c r="M9">
        <v>0</v>
      </c>
      <c r="N9">
        <v>0</v>
      </c>
      <c r="O9">
        <v>0</v>
      </c>
      <c r="P9">
        <v>0</v>
      </c>
      <c r="Q9" s="105" t="e">
        <f t="shared" si="4"/>
        <v>#DIV/0!</v>
      </c>
      <c r="R9" s="105" t="e">
        <f t="shared" si="5"/>
        <v>#DIV/0!</v>
      </c>
      <c r="S9" s="105" t="e">
        <f t="shared" si="6"/>
        <v>#DIV/0!</v>
      </c>
      <c r="T9" s="105" t="e">
        <f t="shared" si="7"/>
        <v>#DIV/0!</v>
      </c>
      <c r="U9" s="105" t="e">
        <f t="shared" si="8"/>
        <v>#DIV/0!</v>
      </c>
      <c r="V9" s="105" t="e">
        <f t="shared" si="9"/>
        <v>#DIV/0!</v>
      </c>
      <c r="W9" s="288">
        <f t="shared" si="10"/>
        <v>0</v>
      </c>
      <c r="X9" s="288">
        <f t="shared" si="11"/>
        <v>0</v>
      </c>
      <c r="Y9" s="288">
        <f t="shared" si="12"/>
        <v>0</v>
      </c>
      <c r="Z9" s="288">
        <f t="shared" si="13"/>
        <v>0</v>
      </c>
      <c r="AA9" s="288">
        <f t="shared" si="14"/>
        <v>0</v>
      </c>
      <c r="AB9" s="288">
        <f t="shared" si="15"/>
        <v>0</v>
      </c>
      <c r="AC9">
        <v>0</v>
      </c>
      <c r="AD9">
        <v>0</v>
      </c>
      <c r="AE9">
        <v>0</v>
      </c>
      <c r="AF9">
        <v>0</v>
      </c>
      <c r="AG9">
        <v>0</v>
      </c>
      <c r="AH9">
        <v>0</v>
      </c>
      <c r="AI9" s="284" t="e">
        <f t="shared" si="16"/>
        <v>#DIV/0!</v>
      </c>
      <c r="AJ9" s="284" t="e">
        <f t="shared" si="17"/>
        <v>#DIV/0!</v>
      </c>
      <c r="AK9" s="284" t="e">
        <f t="shared" si="18"/>
        <v>#DIV/0!</v>
      </c>
      <c r="AL9" s="272">
        <f t="shared" si="19"/>
        <v>0</v>
      </c>
      <c r="AM9" s="272">
        <f t="shared" si="20"/>
        <v>0</v>
      </c>
      <c r="AN9" s="272">
        <f t="shared" si="21"/>
        <v>0</v>
      </c>
      <c r="AO9" t="s">
        <v>58</v>
      </c>
      <c r="AP9" t="s">
        <v>58</v>
      </c>
      <c r="AQ9" t="s">
        <v>58</v>
      </c>
      <c r="AR9" t="s">
        <v>58</v>
      </c>
      <c r="AS9" t="s">
        <v>58</v>
      </c>
      <c r="AT9" t="s">
        <v>58</v>
      </c>
      <c r="AU9">
        <v>9</v>
      </c>
      <c r="AV9" t="s">
        <v>58</v>
      </c>
      <c r="AW9" t="s">
        <v>58</v>
      </c>
      <c r="AX9" t="s">
        <v>58</v>
      </c>
    </row>
    <row r="10" spans="1:50" x14ac:dyDescent="0.25">
      <c r="A10" s="273">
        <v>120004528</v>
      </c>
      <c r="B10" t="str">
        <f>VLOOKUP(infpen!A10,scansanté2024!$B$12:$L$69,2)</f>
        <v>CH DE MILLAU</v>
      </c>
      <c r="C10" t="s">
        <v>59</v>
      </c>
      <c r="D10" s="74" t="str">
        <f>VLOOKUP(A10,dotpop24!$B$8:$U$67,3)</f>
        <v>EPS</v>
      </c>
      <c r="E10">
        <v>0</v>
      </c>
      <c r="F10">
        <v>0</v>
      </c>
      <c r="G10">
        <v>0</v>
      </c>
      <c r="H10">
        <v>0</v>
      </c>
      <c r="I10">
        <v>0</v>
      </c>
      <c r="J10">
        <v>0</v>
      </c>
      <c r="K10">
        <v>0</v>
      </c>
      <c r="L10">
        <v>0</v>
      </c>
      <c r="M10">
        <v>0</v>
      </c>
      <c r="N10">
        <v>0</v>
      </c>
      <c r="O10">
        <v>0</v>
      </c>
      <c r="P10">
        <v>0</v>
      </c>
      <c r="Q10" s="105" t="e">
        <f t="shared" si="4"/>
        <v>#DIV/0!</v>
      </c>
      <c r="R10" s="105" t="e">
        <f t="shared" si="5"/>
        <v>#DIV/0!</v>
      </c>
      <c r="S10" s="105" t="e">
        <f t="shared" si="6"/>
        <v>#DIV/0!</v>
      </c>
      <c r="T10" s="105" t="e">
        <f t="shared" si="7"/>
        <v>#DIV/0!</v>
      </c>
      <c r="U10" s="105" t="e">
        <f t="shared" si="8"/>
        <v>#DIV/0!</v>
      </c>
      <c r="V10" s="105" t="e">
        <f t="shared" si="9"/>
        <v>#DIV/0!</v>
      </c>
      <c r="W10" s="288">
        <f t="shared" si="10"/>
        <v>0</v>
      </c>
      <c r="X10" s="288">
        <f t="shared" si="11"/>
        <v>0</v>
      </c>
      <c r="Y10" s="288">
        <f t="shared" si="12"/>
        <v>0</v>
      </c>
      <c r="Z10" s="288">
        <f t="shared" si="13"/>
        <v>0</v>
      </c>
      <c r="AA10" s="288">
        <f t="shared" si="14"/>
        <v>0</v>
      </c>
      <c r="AB10" s="288">
        <f t="shared" si="15"/>
        <v>0</v>
      </c>
      <c r="AC10">
        <v>6</v>
      </c>
      <c r="AD10">
        <v>0</v>
      </c>
      <c r="AE10">
        <v>0</v>
      </c>
      <c r="AF10">
        <v>898</v>
      </c>
      <c r="AG10">
        <v>0</v>
      </c>
      <c r="AH10">
        <v>0</v>
      </c>
      <c r="AI10" s="284">
        <f t="shared" si="16"/>
        <v>0.41004566210045662</v>
      </c>
      <c r="AJ10" s="284" t="e">
        <f t="shared" si="17"/>
        <v>#DIV/0!</v>
      </c>
      <c r="AK10" s="284" t="e">
        <f t="shared" si="18"/>
        <v>#DIV/0!</v>
      </c>
      <c r="AL10" s="272">
        <f t="shared" si="19"/>
        <v>3.2397260273972601</v>
      </c>
      <c r="AM10" s="272">
        <f t="shared" si="20"/>
        <v>0</v>
      </c>
      <c r="AN10" s="272">
        <f t="shared" si="21"/>
        <v>0</v>
      </c>
      <c r="AO10">
        <v>1</v>
      </c>
      <c r="AP10">
        <v>2</v>
      </c>
      <c r="AQ10">
        <v>1</v>
      </c>
      <c r="AR10">
        <v>2334</v>
      </c>
      <c r="AS10">
        <v>1467</v>
      </c>
      <c r="AT10">
        <v>93</v>
      </c>
      <c r="AU10">
        <v>216</v>
      </c>
      <c r="AV10">
        <v>35</v>
      </c>
      <c r="AW10">
        <v>5</v>
      </c>
      <c r="AX10">
        <v>93</v>
      </c>
    </row>
    <row r="11" spans="1:50" x14ac:dyDescent="0.25">
      <c r="A11" s="273">
        <v>120780044</v>
      </c>
      <c r="B11" t="str">
        <f>VLOOKUP(infpen!A11,scansanté2024!$B$12:$L$69,2)</f>
        <v>CH RODEZ</v>
      </c>
      <c r="C11" t="s">
        <v>59</v>
      </c>
      <c r="D11" s="74" t="str">
        <f>VLOOKUP(A11,dotpop24!$B$8:$U$67,3)</f>
        <v>EPS</v>
      </c>
      <c r="E11">
        <v>5</v>
      </c>
      <c r="F11">
        <v>0</v>
      </c>
      <c r="G11">
        <v>0</v>
      </c>
      <c r="H11">
        <v>0</v>
      </c>
      <c r="I11">
        <v>0</v>
      </c>
      <c r="J11">
        <v>0</v>
      </c>
      <c r="K11">
        <v>1620</v>
      </c>
      <c r="L11">
        <v>0</v>
      </c>
      <c r="M11">
        <v>0</v>
      </c>
      <c r="N11">
        <v>0</v>
      </c>
      <c r="O11">
        <v>0</v>
      </c>
      <c r="P11">
        <v>0</v>
      </c>
      <c r="Q11" s="105">
        <f t="shared" si="4"/>
        <v>0.88767123287671235</v>
      </c>
      <c r="R11" s="105" t="e">
        <f t="shared" si="5"/>
        <v>#DIV/0!</v>
      </c>
      <c r="S11" s="105" t="e">
        <f t="shared" si="6"/>
        <v>#DIV/0!</v>
      </c>
      <c r="T11" s="105" t="e">
        <f t="shared" si="7"/>
        <v>#DIV/0!</v>
      </c>
      <c r="U11" s="105" t="e">
        <f t="shared" si="8"/>
        <v>#DIV/0!</v>
      </c>
      <c r="V11" s="105" t="e">
        <f t="shared" si="9"/>
        <v>#DIV/0!</v>
      </c>
      <c r="W11" s="288">
        <f t="shared" si="10"/>
        <v>6.1643835616438353E-2</v>
      </c>
      <c r="X11" s="288">
        <f t="shared" si="11"/>
        <v>0</v>
      </c>
      <c r="Y11" s="288">
        <f t="shared" si="12"/>
        <v>0</v>
      </c>
      <c r="Z11" s="288">
        <f t="shared" si="13"/>
        <v>0</v>
      </c>
      <c r="AA11" s="288">
        <f t="shared" si="14"/>
        <v>0</v>
      </c>
      <c r="AB11" s="288">
        <f t="shared" si="15"/>
        <v>0</v>
      </c>
      <c r="AC11">
        <v>28</v>
      </c>
      <c r="AD11">
        <v>0</v>
      </c>
      <c r="AE11">
        <v>0</v>
      </c>
      <c r="AF11">
        <v>3814</v>
      </c>
      <c r="AG11">
        <v>0</v>
      </c>
      <c r="AH11">
        <v>0</v>
      </c>
      <c r="AI11" s="284">
        <f t="shared" si="16"/>
        <v>0.37318982387475536</v>
      </c>
      <c r="AJ11" s="284" t="e">
        <f t="shared" si="17"/>
        <v>#DIV/0!</v>
      </c>
      <c r="AK11" s="284" t="e">
        <f t="shared" si="18"/>
        <v>#DIV/0!</v>
      </c>
      <c r="AL11" s="272">
        <f t="shared" si="19"/>
        <v>16.150684931506849</v>
      </c>
      <c r="AM11" s="272">
        <f t="shared" si="20"/>
        <v>0</v>
      </c>
      <c r="AN11" s="272">
        <f t="shared" si="21"/>
        <v>0</v>
      </c>
      <c r="AO11">
        <v>6</v>
      </c>
      <c r="AP11" t="s">
        <v>58</v>
      </c>
      <c r="AQ11">
        <v>3</v>
      </c>
      <c r="AR11" t="s">
        <v>58</v>
      </c>
      <c r="AS11" t="s">
        <v>58</v>
      </c>
      <c r="AT11" t="s">
        <v>58</v>
      </c>
      <c r="AU11" t="s">
        <v>58</v>
      </c>
      <c r="AV11" t="s">
        <v>58</v>
      </c>
      <c r="AW11" t="s">
        <v>58</v>
      </c>
      <c r="AX11" t="s">
        <v>58</v>
      </c>
    </row>
    <row r="12" spans="1:50" x14ac:dyDescent="0.25">
      <c r="A12" s="273">
        <v>120780283</v>
      </c>
      <c r="B12" t="str">
        <f>VLOOKUP(infpen!A12,scansanté2024!$B$12:$L$69,2)</f>
        <v>CH SAINTE-MARIE</v>
      </c>
      <c r="C12" t="s">
        <v>60</v>
      </c>
      <c r="D12" s="74" t="str">
        <f>VLOOKUP(A12,dotpop24!$B$8:$U$67,3)</f>
        <v>EBNL</v>
      </c>
      <c r="E12">
        <v>0</v>
      </c>
      <c r="F12">
        <v>0</v>
      </c>
      <c r="G12">
        <v>0</v>
      </c>
      <c r="H12">
        <v>0</v>
      </c>
      <c r="I12">
        <v>0</v>
      </c>
      <c r="J12">
        <v>0</v>
      </c>
      <c r="K12">
        <v>0</v>
      </c>
      <c r="L12">
        <v>0</v>
      </c>
      <c r="M12">
        <v>0</v>
      </c>
      <c r="N12">
        <v>0</v>
      </c>
      <c r="O12">
        <v>0</v>
      </c>
      <c r="P12">
        <v>0</v>
      </c>
      <c r="Q12" s="105" t="e">
        <f t="shared" si="4"/>
        <v>#DIV/0!</v>
      </c>
      <c r="R12" s="105" t="e">
        <f t="shared" si="5"/>
        <v>#DIV/0!</v>
      </c>
      <c r="S12" s="105" t="e">
        <f t="shared" si="6"/>
        <v>#DIV/0!</v>
      </c>
      <c r="T12" s="105" t="e">
        <f t="shared" si="7"/>
        <v>#DIV/0!</v>
      </c>
      <c r="U12" s="105" t="e">
        <f t="shared" si="8"/>
        <v>#DIV/0!</v>
      </c>
      <c r="V12" s="105" t="e">
        <f t="shared" si="9"/>
        <v>#DIV/0!</v>
      </c>
      <c r="W12" s="288">
        <f t="shared" si="10"/>
        <v>0</v>
      </c>
      <c r="X12" s="288">
        <f t="shared" si="11"/>
        <v>0</v>
      </c>
      <c r="Y12" s="288">
        <f t="shared" si="12"/>
        <v>0</v>
      </c>
      <c r="Z12" s="288">
        <f t="shared" si="13"/>
        <v>0</v>
      </c>
      <c r="AA12" s="288">
        <f t="shared" si="14"/>
        <v>0</v>
      </c>
      <c r="AB12" s="288">
        <f t="shared" si="15"/>
        <v>0</v>
      </c>
      <c r="AC12">
        <v>0</v>
      </c>
      <c r="AD12">
        <v>0</v>
      </c>
      <c r="AE12">
        <v>0</v>
      </c>
      <c r="AF12">
        <v>0</v>
      </c>
      <c r="AG12">
        <v>0</v>
      </c>
      <c r="AH12">
        <v>0</v>
      </c>
      <c r="AI12" s="284" t="e">
        <f t="shared" si="16"/>
        <v>#DIV/0!</v>
      </c>
      <c r="AJ12" s="284" t="e">
        <f t="shared" si="17"/>
        <v>#DIV/0!</v>
      </c>
      <c r="AK12" s="284" t="e">
        <f t="shared" si="18"/>
        <v>#DIV/0!</v>
      </c>
      <c r="AL12" s="272">
        <f t="shared" si="19"/>
        <v>0</v>
      </c>
      <c r="AM12" s="272">
        <f t="shared" si="20"/>
        <v>0</v>
      </c>
      <c r="AN12" s="272">
        <f t="shared" si="21"/>
        <v>0</v>
      </c>
      <c r="AO12" t="s">
        <v>58</v>
      </c>
      <c r="AP12" t="s">
        <v>58</v>
      </c>
      <c r="AQ12" t="s">
        <v>58</v>
      </c>
      <c r="AR12" t="s">
        <v>58</v>
      </c>
      <c r="AS12" t="s">
        <v>58</v>
      </c>
      <c r="AT12" t="s">
        <v>58</v>
      </c>
      <c r="AU12">
        <v>1260</v>
      </c>
      <c r="AV12" t="s">
        <v>58</v>
      </c>
      <c r="AW12" t="s">
        <v>58</v>
      </c>
      <c r="AX12" t="s">
        <v>58</v>
      </c>
    </row>
    <row r="13" spans="1:50" x14ac:dyDescent="0.25">
      <c r="A13" s="273">
        <v>300780103</v>
      </c>
      <c r="B13" t="str">
        <f>VLOOKUP(infpen!A13,scansanté2024!$B$12:$L$69,2)</f>
        <v>CHSP LE MAS CAREIRON</v>
      </c>
      <c r="C13" t="s">
        <v>59</v>
      </c>
      <c r="D13" s="74" t="str">
        <f>VLOOKUP(A13,dotpop24!$B$8:$U$67,3)</f>
        <v>EPS</v>
      </c>
      <c r="E13">
        <v>5</v>
      </c>
      <c r="F13">
        <v>0</v>
      </c>
      <c r="G13">
        <v>0</v>
      </c>
      <c r="H13">
        <v>0</v>
      </c>
      <c r="I13">
        <v>0</v>
      </c>
      <c r="J13">
        <v>0</v>
      </c>
      <c r="K13">
        <v>766</v>
      </c>
      <c r="L13">
        <v>0</v>
      </c>
      <c r="M13">
        <v>0</v>
      </c>
      <c r="N13">
        <v>0</v>
      </c>
      <c r="O13">
        <v>0</v>
      </c>
      <c r="P13">
        <v>0</v>
      </c>
      <c r="Q13" s="105">
        <f t="shared" si="4"/>
        <v>0.41972602739726028</v>
      </c>
      <c r="R13" s="105" t="e">
        <f t="shared" si="5"/>
        <v>#DIV/0!</v>
      </c>
      <c r="S13" s="105" t="e">
        <f t="shared" si="6"/>
        <v>#DIV/0!</v>
      </c>
      <c r="T13" s="105" t="e">
        <f t="shared" si="7"/>
        <v>#DIV/0!</v>
      </c>
      <c r="U13" s="105" t="e">
        <f t="shared" si="8"/>
        <v>#DIV/0!</v>
      </c>
      <c r="V13" s="105" t="e">
        <f t="shared" si="9"/>
        <v>#DIV/0!</v>
      </c>
      <c r="W13" s="288">
        <f t="shared" si="10"/>
        <v>2.4013698630136986</v>
      </c>
      <c r="X13" s="288">
        <f t="shared" si="11"/>
        <v>0</v>
      </c>
      <c r="Y13" s="288">
        <f t="shared" si="12"/>
        <v>0</v>
      </c>
      <c r="Z13" s="288">
        <f t="shared" si="13"/>
        <v>0</v>
      </c>
      <c r="AA13" s="288">
        <f t="shared" si="14"/>
        <v>0</v>
      </c>
      <c r="AB13" s="288">
        <f t="shared" si="15"/>
        <v>0</v>
      </c>
      <c r="AC13">
        <v>34</v>
      </c>
      <c r="AD13">
        <v>0</v>
      </c>
      <c r="AE13">
        <v>0</v>
      </c>
      <c r="AF13">
        <v>2190</v>
      </c>
      <c r="AG13">
        <v>0</v>
      </c>
      <c r="AH13">
        <v>0</v>
      </c>
      <c r="AI13" s="284">
        <f t="shared" si="16"/>
        <v>0.17647058823529413</v>
      </c>
      <c r="AJ13" s="284" t="e">
        <f t="shared" si="17"/>
        <v>#DIV/0!</v>
      </c>
      <c r="AK13" s="284" t="e">
        <f t="shared" si="18"/>
        <v>#DIV/0!</v>
      </c>
      <c r="AL13" s="272">
        <f t="shared" si="19"/>
        <v>26.3</v>
      </c>
      <c r="AM13" s="272">
        <f t="shared" si="20"/>
        <v>0</v>
      </c>
      <c r="AN13" s="272">
        <f t="shared" si="21"/>
        <v>0</v>
      </c>
      <c r="AO13">
        <v>3</v>
      </c>
      <c r="AP13" t="s">
        <v>58</v>
      </c>
      <c r="AQ13" t="s">
        <v>58</v>
      </c>
      <c r="AR13">
        <v>14591</v>
      </c>
      <c r="AS13">
        <v>0</v>
      </c>
      <c r="AT13" t="s">
        <v>58</v>
      </c>
      <c r="AU13">
        <v>226</v>
      </c>
      <c r="AV13" t="s">
        <v>58</v>
      </c>
      <c r="AW13">
        <v>36</v>
      </c>
      <c r="AX13" t="s">
        <v>58</v>
      </c>
    </row>
    <row r="14" spans="1:50" x14ac:dyDescent="0.25">
      <c r="A14" s="280">
        <v>300780103</v>
      </c>
      <c r="B14" t="str">
        <f>VLOOKUP(infpen!A14,scansanté2024!$B$12:$L$69,2)</f>
        <v>CHSP LE MAS CAREIRON</v>
      </c>
      <c r="C14" t="s">
        <v>60</v>
      </c>
      <c r="D14" s="74" t="str">
        <f>VLOOKUP(A14,dotpop24!$B$8:$U$67,3)</f>
        <v>EPS</v>
      </c>
      <c r="E14">
        <v>0</v>
      </c>
      <c r="F14">
        <v>0</v>
      </c>
      <c r="G14">
        <v>0</v>
      </c>
      <c r="H14">
        <v>0</v>
      </c>
      <c r="I14">
        <v>0</v>
      </c>
      <c r="J14">
        <v>0</v>
      </c>
      <c r="K14">
        <v>0</v>
      </c>
      <c r="L14">
        <v>0</v>
      </c>
      <c r="M14">
        <v>0</v>
      </c>
      <c r="N14">
        <v>0</v>
      </c>
      <c r="O14">
        <v>0</v>
      </c>
      <c r="P14">
        <v>0</v>
      </c>
      <c r="Q14" s="105" t="e">
        <f t="shared" si="4"/>
        <v>#DIV/0!</v>
      </c>
      <c r="R14" s="105" t="e">
        <f t="shared" si="5"/>
        <v>#DIV/0!</v>
      </c>
      <c r="S14" s="105" t="e">
        <f t="shared" si="6"/>
        <v>#DIV/0!</v>
      </c>
      <c r="T14" s="105" t="e">
        <f t="shared" si="7"/>
        <v>#DIV/0!</v>
      </c>
      <c r="U14" s="105" t="e">
        <f t="shared" si="8"/>
        <v>#DIV/0!</v>
      </c>
      <c r="V14" s="105" t="e">
        <f t="shared" si="9"/>
        <v>#DIV/0!</v>
      </c>
      <c r="W14" s="288">
        <f t="shared" si="10"/>
        <v>0</v>
      </c>
      <c r="X14" s="288">
        <f t="shared" si="11"/>
        <v>0</v>
      </c>
      <c r="Y14" s="288">
        <f t="shared" si="12"/>
        <v>0</v>
      </c>
      <c r="Z14" s="288">
        <f t="shared" si="13"/>
        <v>0</v>
      </c>
      <c r="AA14" s="288">
        <f t="shared" si="14"/>
        <v>0</v>
      </c>
      <c r="AB14" s="288">
        <f t="shared" si="15"/>
        <v>0</v>
      </c>
      <c r="AC14">
        <v>0</v>
      </c>
      <c r="AD14">
        <v>0</v>
      </c>
      <c r="AE14">
        <v>0</v>
      </c>
      <c r="AF14">
        <v>0</v>
      </c>
      <c r="AG14">
        <v>0</v>
      </c>
      <c r="AH14">
        <v>0</v>
      </c>
      <c r="AI14" s="284" t="e">
        <f t="shared" si="16"/>
        <v>#DIV/0!</v>
      </c>
      <c r="AJ14" s="284" t="e">
        <f t="shared" si="17"/>
        <v>#DIV/0!</v>
      </c>
      <c r="AK14" s="284" t="e">
        <f t="shared" si="18"/>
        <v>#DIV/0!</v>
      </c>
      <c r="AL14" s="272">
        <f t="shared" si="19"/>
        <v>0</v>
      </c>
      <c r="AM14" s="272">
        <f t="shared" si="20"/>
        <v>0</v>
      </c>
      <c r="AN14" s="272">
        <f t="shared" si="21"/>
        <v>0</v>
      </c>
      <c r="AO14" t="s">
        <v>58</v>
      </c>
      <c r="AP14" t="s">
        <v>58</v>
      </c>
      <c r="AQ14" t="s">
        <v>58</v>
      </c>
      <c r="AR14" t="s">
        <v>58</v>
      </c>
      <c r="AS14" t="s">
        <v>58</v>
      </c>
      <c r="AT14" t="s">
        <v>58</v>
      </c>
      <c r="AU14">
        <v>1206</v>
      </c>
      <c r="AV14" t="s">
        <v>58</v>
      </c>
      <c r="AW14" t="s">
        <v>58</v>
      </c>
      <c r="AX14" t="s">
        <v>58</v>
      </c>
    </row>
    <row r="15" spans="1:50" x14ac:dyDescent="0.25">
      <c r="A15" s="273">
        <v>300780764</v>
      </c>
      <c r="B15" t="str">
        <f>VLOOKUP(infpen!A15,scansanté2024!$B$12:$L$69,2)</f>
        <v>CENTRE DE POST CURE DU PEYRON</v>
      </c>
      <c r="C15" t="s">
        <v>59</v>
      </c>
      <c r="D15" s="74" t="str">
        <f>VLOOKUP(A15,dotpop24!$B$8:$U$67,3)</f>
        <v>EBNL</v>
      </c>
      <c r="E15">
        <v>0</v>
      </c>
      <c r="F15">
        <v>0</v>
      </c>
      <c r="G15">
        <v>0</v>
      </c>
      <c r="H15">
        <v>0</v>
      </c>
      <c r="I15">
        <v>0</v>
      </c>
      <c r="J15">
        <v>0</v>
      </c>
      <c r="K15">
        <v>0</v>
      </c>
      <c r="L15">
        <v>0</v>
      </c>
      <c r="M15">
        <v>0</v>
      </c>
      <c r="N15">
        <v>0</v>
      </c>
      <c r="O15">
        <v>0</v>
      </c>
      <c r="P15">
        <v>0</v>
      </c>
      <c r="Q15" s="105" t="e">
        <f t="shared" si="4"/>
        <v>#DIV/0!</v>
      </c>
      <c r="R15" s="105" t="e">
        <f t="shared" si="5"/>
        <v>#DIV/0!</v>
      </c>
      <c r="S15" s="105" t="e">
        <f t="shared" si="6"/>
        <v>#DIV/0!</v>
      </c>
      <c r="T15" s="105" t="e">
        <f t="shared" si="7"/>
        <v>#DIV/0!</v>
      </c>
      <c r="U15" s="105" t="e">
        <f t="shared" si="8"/>
        <v>#DIV/0!</v>
      </c>
      <c r="V15" s="105" t="e">
        <f t="shared" si="9"/>
        <v>#DIV/0!</v>
      </c>
      <c r="W15" s="288">
        <f t="shared" si="10"/>
        <v>0</v>
      </c>
      <c r="X15" s="288">
        <f t="shared" si="11"/>
        <v>0</v>
      </c>
      <c r="Y15" s="288">
        <f t="shared" si="12"/>
        <v>0</v>
      </c>
      <c r="Z15" s="288">
        <f t="shared" si="13"/>
        <v>0</v>
      </c>
      <c r="AA15" s="288">
        <f t="shared" si="14"/>
        <v>0</v>
      </c>
      <c r="AB15" s="288">
        <f t="shared" si="15"/>
        <v>0</v>
      </c>
      <c r="AC15">
        <v>0</v>
      </c>
      <c r="AD15">
        <v>0</v>
      </c>
      <c r="AE15">
        <v>0</v>
      </c>
      <c r="AF15">
        <v>0</v>
      </c>
      <c r="AG15">
        <v>0</v>
      </c>
      <c r="AH15">
        <v>0</v>
      </c>
      <c r="AI15" s="284" t="e">
        <f t="shared" si="16"/>
        <v>#DIV/0!</v>
      </c>
      <c r="AJ15" s="284" t="e">
        <f t="shared" si="17"/>
        <v>#DIV/0!</v>
      </c>
      <c r="AK15" s="284" t="e">
        <f t="shared" si="18"/>
        <v>#DIV/0!</v>
      </c>
      <c r="AL15" s="272">
        <f t="shared" si="19"/>
        <v>0</v>
      </c>
      <c r="AM15" s="272">
        <f t="shared" si="20"/>
        <v>0</v>
      </c>
      <c r="AN15" s="272">
        <f t="shared" si="21"/>
        <v>0</v>
      </c>
      <c r="AO15">
        <v>1</v>
      </c>
      <c r="AP15" t="s">
        <v>58</v>
      </c>
      <c r="AQ15" t="s">
        <v>58</v>
      </c>
      <c r="AR15">
        <v>455</v>
      </c>
      <c r="AS15" t="s">
        <v>58</v>
      </c>
      <c r="AT15" t="s">
        <v>58</v>
      </c>
      <c r="AU15" t="s">
        <v>58</v>
      </c>
      <c r="AV15" t="s">
        <v>58</v>
      </c>
      <c r="AW15" t="s">
        <v>58</v>
      </c>
      <c r="AX15" t="s">
        <v>58</v>
      </c>
    </row>
    <row r="16" spans="1:50" x14ac:dyDescent="0.25">
      <c r="A16" s="277">
        <v>300002896</v>
      </c>
      <c r="B16" t="str">
        <f>VLOOKUP(infpen!A16,scansanté2024!$B$12:$L$69,2)</f>
        <v>CIGALIERES</v>
      </c>
      <c r="C16" t="s">
        <v>59</v>
      </c>
      <c r="D16" s="74" t="str">
        <f>VLOOKUP(A16,dotpop24!$B$8:$U$67,3)</f>
        <v>EBNL</v>
      </c>
      <c r="E16">
        <v>0</v>
      </c>
      <c r="F16">
        <v>0</v>
      </c>
      <c r="G16">
        <v>0</v>
      </c>
      <c r="H16">
        <v>0</v>
      </c>
      <c r="I16">
        <v>0</v>
      </c>
      <c r="J16">
        <v>0</v>
      </c>
      <c r="K16">
        <v>0</v>
      </c>
      <c r="L16">
        <v>0</v>
      </c>
      <c r="M16">
        <v>0</v>
      </c>
      <c r="N16">
        <v>0</v>
      </c>
      <c r="O16">
        <v>0</v>
      </c>
      <c r="P16">
        <v>0</v>
      </c>
      <c r="Q16" s="105" t="e">
        <f t="shared" si="4"/>
        <v>#DIV/0!</v>
      </c>
      <c r="R16" s="105" t="e">
        <f t="shared" si="5"/>
        <v>#DIV/0!</v>
      </c>
      <c r="S16" s="105" t="e">
        <f t="shared" si="6"/>
        <v>#DIV/0!</v>
      </c>
      <c r="T16" s="105" t="e">
        <f t="shared" si="7"/>
        <v>#DIV/0!</v>
      </c>
      <c r="U16" s="105" t="e">
        <f t="shared" si="8"/>
        <v>#DIV/0!</v>
      </c>
      <c r="V16" s="105" t="e">
        <f t="shared" si="9"/>
        <v>#DIV/0!</v>
      </c>
      <c r="W16" s="288">
        <f t="shared" si="10"/>
        <v>0</v>
      </c>
      <c r="X16" s="288">
        <f t="shared" si="11"/>
        <v>0</v>
      </c>
      <c r="Y16" s="288">
        <f t="shared" si="12"/>
        <v>0</v>
      </c>
      <c r="Z16" s="288">
        <f t="shared" si="13"/>
        <v>0</v>
      </c>
      <c r="AA16" s="288">
        <f t="shared" si="14"/>
        <v>0</v>
      </c>
      <c r="AB16" s="288">
        <f t="shared" si="15"/>
        <v>0</v>
      </c>
      <c r="AC16">
        <v>8</v>
      </c>
      <c r="AD16">
        <v>0</v>
      </c>
      <c r="AE16">
        <v>1</v>
      </c>
      <c r="AF16">
        <v>684</v>
      </c>
      <c r="AG16">
        <v>0</v>
      </c>
      <c r="AH16">
        <v>0</v>
      </c>
      <c r="AI16" s="284">
        <f t="shared" si="16"/>
        <v>0.23424657534246576</v>
      </c>
      <c r="AJ16" s="284" t="e">
        <f t="shared" si="17"/>
        <v>#DIV/0!</v>
      </c>
      <c r="AK16" s="284">
        <f t="shared" si="18"/>
        <v>0</v>
      </c>
      <c r="AL16" s="272">
        <f t="shared" si="19"/>
        <v>5.7260273972602738</v>
      </c>
      <c r="AM16" s="272">
        <f t="shared" si="20"/>
        <v>0</v>
      </c>
      <c r="AN16" s="272">
        <f t="shared" si="21"/>
        <v>0.95</v>
      </c>
      <c r="AO16">
        <v>1</v>
      </c>
      <c r="AP16">
        <v>0</v>
      </c>
      <c r="AQ16">
        <v>0</v>
      </c>
      <c r="AR16">
        <v>5819</v>
      </c>
      <c r="AS16">
        <v>0</v>
      </c>
      <c r="AT16">
        <v>0</v>
      </c>
      <c r="AU16">
        <v>0</v>
      </c>
      <c r="AV16">
        <v>0</v>
      </c>
      <c r="AW16">
        <v>0</v>
      </c>
      <c r="AX16">
        <v>0</v>
      </c>
    </row>
    <row r="17" spans="1:50" x14ac:dyDescent="0.25">
      <c r="A17" s="280">
        <v>300780384</v>
      </c>
      <c r="B17" t="str">
        <f>VLOOKUP(infpen!A17,scansanté2024!$B$12:$L$69,2)</f>
        <v>CENTRE DE PROTECTION INFANTILE DE MONTAURY</v>
      </c>
      <c r="C17" t="s">
        <v>59</v>
      </c>
      <c r="D17" s="74" t="str">
        <f>VLOOKUP(A17,dotpop24!$B$8:$U$67,3)</f>
        <v>EBNL</v>
      </c>
      <c r="E17">
        <v>0</v>
      </c>
      <c r="F17">
        <v>6</v>
      </c>
      <c r="G17">
        <v>0</v>
      </c>
      <c r="H17">
        <v>0</v>
      </c>
      <c r="I17">
        <v>0</v>
      </c>
      <c r="J17">
        <v>0</v>
      </c>
      <c r="K17">
        <v>0</v>
      </c>
      <c r="L17">
        <v>679</v>
      </c>
      <c r="M17">
        <v>0</v>
      </c>
      <c r="N17">
        <v>0</v>
      </c>
      <c r="O17">
        <v>0</v>
      </c>
      <c r="P17">
        <v>0</v>
      </c>
      <c r="Q17" s="105" t="e">
        <f t="shared" si="4"/>
        <v>#DIV/0!</v>
      </c>
      <c r="R17" s="105">
        <f t="shared" si="5"/>
        <v>0.31004566210045664</v>
      </c>
      <c r="S17" s="105" t="e">
        <f t="shared" si="6"/>
        <v>#DIV/0!</v>
      </c>
      <c r="T17" s="105" t="e">
        <f t="shared" si="7"/>
        <v>#DIV/0!</v>
      </c>
      <c r="U17" s="105" t="e">
        <f t="shared" si="8"/>
        <v>#DIV/0!</v>
      </c>
      <c r="V17" s="105" t="e">
        <f t="shared" si="9"/>
        <v>#DIV/0!</v>
      </c>
      <c r="W17" s="288">
        <f t="shared" si="10"/>
        <v>0</v>
      </c>
      <c r="X17" s="288">
        <f t="shared" si="11"/>
        <v>3.5397260273972604</v>
      </c>
      <c r="Y17" s="288">
        <f t="shared" si="12"/>
        <v>0</v>
      </c>
      <c r="Z17" s="288">
        <f t="shared" si="13"/>
        <v>0</v>
      </c>
      <c r="AA17" s="288">
        <f t="shared" si="14"/>
        <v>0</v>
      </c>
      <c r="AB17" s="288">
        <f t="shared" si="15"/>
        <v>0</v>
      </c>
      <c r="AC17">
        <v>8</v>
      </c>
      <c r="AD17">
        <v>0</v>
      </c>
      <c r="AE17">
        <v>0</v>
      </c>
      <c r="AF17">
        <v>1707</v>
      </c>
      <c r="AG17">
        <v>0</v>
      </c>
      <c r="AH17">
        <v>0</v>
      </c>
      <c r="AI17" s="284">
        <f t="shared" si="16"/>
        <v>0.58458904109589038</v>
      </c>
      <c r="AJ17" s="284" t="e">
        <f t="shared" si="17"/>
        <v>#DIV/0!</v>
      </c>
      <c r="AK17" s="284" t="e">
        <f t="shared" si="18"/>
        <v>#DIV/0!</v>
      </c>
      <c r="AL17" s="272">
        <f t="shared" si="19"/>
        <v>2.9232876712328766</v>
      </c>
      <c r="AM17" s="272">
        <f t="shared" si="20"/>
        <v>0</v>
      </c>
      <c r="AN17" s="272">
        <f t="shared" si="21"/>
        <v>0</v>
      </c>
      <c r="AO17">
        <v>1</v>
      </c>
      <c r="AP17">
        <v>1</v>
      </c>
      <c r="AQ17" t="s">
        <v>58</v>
      </c>
      <c r="AR17">
        <v>4141</v>
      </c>
      <c r="AS17">
        <v>1490</v>
      </c>
      <c r="AT17" t="s">
        <v>58</v>
      </c>
      <c r="AU17">
        <v>11</v>
      </c>
      <c r="AV17" t="s">
        <v>58</v>
      </c>
      <c r="AW17" t="s">
        <v>58</v>
      </c>
      <c r="AX17">
        <v>53</v>
      </c>
    </row>
    <row r="18" spans="1:50" x14ac:dyDescent="0.25">
      <c r="A18" s="273">
        <v>300780038</v>
      </c>
      <c r="B18" t="str">
        <f>VLOOKUP(infpen!A18,scansanté2024!$B$12:$L$69,2)</f>
        <v>CHU NIMES</v>
      </c>
      <c r="C18" t="s">
        <v>59</v>
      </c>
      <c r="D18" s="74" t="str">
        <f>VLOOKUP(A18,dotpop24!$B$8:$U$67,3)</f>
        <v>EPS</v>
      </c>
      <c r="E18">
        <v>10</v>
      </c>
      <c r="F18">
        <v>0</v>
      </c>
      <c r="G18">
        <v>0</v>
      </c>
      <c r="H18">
        <v>0</v>
      </c>
      <c r="I18">
        <v>0</v>
      </c>
      <c r="J18">
        <v>0</v>
      </c>
      <c r="K18">
        <v>2678</v>
      </c>
      <c r="L18">
        <v>0</v>
      </c>
      <c r="M18">
        <v>0</v>
      </c>
      <c r="N18">
        <v>0</v>
      </c>
      <c r="O18">
        <v>0</v>
      </c>
      <c r="P18">
        <v>0</v>
      </c>
      <c r="Q18" s="105">
        <f t="shared" si="4"/>
        <v>0.73369863013698633</v>
      </c>
      <c r="R18" s="105" t="e">
        <f t="shared" si="5"/>
        <v>#DIV/0!</v>
      </c>
      <c r="S18" s="105" t="e">
        <f t="shared" si="6"/>
        <v>#DIV/0!</v>
      </c>
      <c r="T18" s="105" t="e">
        <f t="shared" si="7"/>
        <v>#DIV/0!</v>
      </c>
      <c r="U18" s="105" t="e">
        <f t="shared" si="8"/>
        <v>#DIV/0!</v>
      </c>
      <c r="V18" s="105" t="e">
        <f t="shared" si="9"/>
        <v>#DIV/0!</v>
      </c>
      <c r="W18" s="288">
        <f t="shared" si="10"/>
        <v>1.6630136986301369</v>
      </c>
      <c r="X18" s="288">
        <f t="shared" si="11"/>
        <v>0</v>
      </c>
      <c r="Y18" s="288">
        <f t="shared" si="12"/>
        <v>0</v>
      </c>
      <c r="Z18" s="288">
        <f t="shared" si="13"/>
        <v>0</v>
      </c>
      <c r="AA18" s="288">
        <f t="shared" si="14"/>
        <v>0</v>
      </c>
      <c r="AB18" s="288">
        <f t="shared" si="15"/>
        <v>0</v>
      </c>
      <c r="AC18">
        <v>24</v>
      </c>
      <c r="AD18">
        <v>0</v>
      </c>
      <c r="AE18">
        <v>0</v>
      </c>
      <c r="AF18">
        <v>2219</v>
      </c>
      <c r="AG18">
        <v>0</v>
      </c>
      <c r="AH18">
        <v>0</v>
      </c>
      <c r="AI18" s="284">
        <f t="shared" si="16"/>
        <v>0.25331050228310503</v>
      </c>
      <c r="AJ18" s="284" t="e">
        <f t="shared" si="17"/>
        <v>#DIV/0!</v>
      </c>
      <c r="AK18" s="284" t="e">
        <f t="shared" si="18"/>
        <v>#DIV/0!</v>
      </c>
      <c r="AL18" s="272">
        <f t="shared" si="19"/>
        <v>16.720547945205478</v>
      </c>
      <c r="AM18" s="272">
        <f t="shared" si="20"/>
        <v>0</v>
      </c>
      <c r="AN18" s="272">
        <f t="shared" si="21"/>
        <v>0</v>
      </c>
      <c r="AO18">
        <v>4</v>
      </c>
      <c r="AP18">
        <v>2</v>
      </c>
      <c r="AQ18" t="s">
        <v>58</v>
      </c>
      <c r="AR18">
        <v>7975</v>
      </c>
      <c r="AS18">
        <v>1820</v>
      </c>
      <c r="AT18" t="s">
        <v>58</v>
      </c>
      <c r="AU18">
        <v>37</v>
      </c>
      <c r="AV18">
        <v>14</v>
      </c>
      <c r="AW18">
        <v>6</v>
      </c>
      <c r="AX18">
        <v>50</v>
      </c>
    </row>
    <row r="19" spans="1:50" x14ac:dyDescent="0.25">
      <c r="A19" s="273">
        <v>300780038</v>
      </c>
      <c r="B19" t="str">
        <f>VLOOKUP(infpen!A19,scansanté2024!$B$12:$L$69,2)</f>
        <v>CHU NIMES</v>
      </c>
      <c r="C19" t="s">
        <v>60</v>
      </c>
      <c r="D19" s="74" t="str">
        <f>VLOOKUP(A19,dotpop24!$B$8:$U$67,3)</f>
        <v>EPS</v>
      </c>
      <c r="E19">
        <v>0</v>
      </c>
      <c r="F19">
        <v>0</v>
      </c>
      <c r="G19">
        <v>0</v>
      </c>
      <c r="H19">
        <v>0</v>
      </c>
      <c r="I19">
        <v>0</v>
      </c>
      <c r="J19">
        <v>0</v>
      </c>
      <c r="K19">
        <v>0</v>
      </c>
      <c r="L19">
        <v>0</v>
      </c>
      <c r="M19">
        <v>0</v>
      </c>
      <c r="N19">
        <v>0</v>
      </c>
      <c r="O19">
        <v>0</v>
      </c>
      <c r="P19">
        <v>0</v>
      </c>
      <c r="Q19" s="105" t="e">
        <f t="shared" si="4"/>
        <v>#DIV/0!</v>
      </c>
      <c r="R19" s="105" t="e">
        <f t="shared" si="5"/>
        <v>#DIV/0!</v>
      </c>
      <c r="S19" s="105" t="e">
        <f t="shared" si="6"/>
        <v>#DIV/0!</v>
      </c>
      <c r="T19" s="105" t="e">
        <f t="shared" si="7"/>
        <v>#DIV/0!</v>
      </c>
      <c r="U19" s="105" t="e">
        <f t="shared" si="8"/>
        <v>#DIV/0!</v>
      </c>
      <c r="V19" s="105" t="e">
        <f t="shared" si="9"/>
        <v>#DIV/0!</v>
      </c>
      <c r="W19" s="288">
        <f t="shared" si="10"/>
        <v>0</v>
      </c>
      <c r="X19" s="288">
        <f t="shared" si="11"/>
        <v>0</v>
      </c>
      <c r="Y19" s="288">
        <f t="shared" si="12"/>
        <v>0</v>
      </c>
      <c r="Z19" s="288">
        <f t="shared" si="13"/>
        <v>0</v>
      </c>
      <c r="AA19" s="288">
        <f t="shared" si="14"/>
        <v>0</v>
      </c>
      <c r="AB19" s="288">
        <f t="shared" si="15"/>
        <v>0</v>
      </c>
      <c r="AC19">
        <v>0</v>
      </c>
      <c r="AD19">
        <v>0</v>
      </c>
      <c r="AE19">
        <v>0</v>
      </c>
      <c r="AF19">
        <v>0</v>
      </c>
      <c r="AG19">
        <v>0</v>
      </c>
      <c r="AH19">
        <v>0</v>
      </c>
      <c r="AI19" s="284" t="e">
        <f t="shared" si="16"/>
        <v>#DIV/0!</v>
      </c>
      <c r="AJ19" s="284" t="e">
        <f t="shared" si="17"/>
        <v>#DIV/0!</v>
      </c>
      <c r="AK19" s="284" t="e">
        <f t="shared" si="18"/>
        <v>#DIV/0!</v>
      </c>
      <c r="AL19" s="272">
        <f t="shared" si="19"/>
        <v>0</v>
      </c>
      <c r="AM19" s="272">
        <f t="shared" si="20"/>
        <v>0</v>
      </c>
      <c r="AN19" s="272">
        <f t="shared" si="21"/>
        <v>0</v>
      </c>
      <c r="AO19" t="s">
        <v>58</v>
      </c>
      <c r="AP19" t="s">
        <v>58</v>
      </c>
      <c r="AQ19" t="s">
        <v>58</v>
      </c>
      <c r="AR19" t="s">
        <v>58</v>
      </c>
      <c r="AS19" t="s">
        <v>58</v>
      </c>
      <c r="AT19" t="s">
        <v>58</v>
      </c>
      <c r="AU19" t="s">
        <v>58</v>
      </c>
      <c r="AV19" t="s">
        <v>58</v>
      </c>
      <c r="AW19" t="s">
        <v>58</v>
      </c>
      <c r="AX19" t="s">
        <v>58</v>
      </c>
    </row>
    <row r="20" spans="1:50" x14ac:dyDescent="0.25">
      <c r="A20" s="273">
        <v>310780754</v>
      </c>
      <c r="B20" t="str">
        <f>VLOOKUP(infpen!A20,scansanté2024!$B$12:$L$69,2)</f>
        <v>CH GERARD MARCHANT</v>
      </c>
      <c r="C20" t="s">
        <v>59</v>
      </c>
      <c r="D20" s="74" t="str">
        <f>VLOOKUP(A20,dotpop24!$B$8:$U$67,3)</f>
        <v>EPS</v>
      </c>
      <c r="E20">
        <v>12</v>
      </c>
      <c r="F20">
        <v>0</v>
      </c>
      <c r="G20">
        <v>0</v>
      </c>
      <c r="H20">
        <v>0</v>
      </c>
      <c r="I20">
        <v>8</v>
      </c>
      <c r="J20">
        <v>0</v>
      </c>
      <c r="K20">
        <v>1676</v>
      </c>
      <c r="L20">
        <v>0</v>
      </c>
      <c r="M20">
        <v>0</v>
      </c>
      <c r="N20">
        <v>0</v>
      </c>
      <c r="O20">
        <v>2226</v>
      </c>
      <c r="P20">
        <v>0</v>
      </c>
      <c r="Q20" s="105">
        <f t="shared" si="4"/>
        <v>0.38264840182648402</v>
      </c>
      <c r="R20" s="105" t="e">
        <f t="shared" si="5"/>
        <v>#DIV/0!</v>
      </c>
      <c r="S20" s="105" t="e">
        <f t="shared" si="6"/>
        <v>#DIV/0!</v>
      </c>
      <c r="T20" s="105" t="e">
        <f t="shared" si="7"/>
        <v>#DIV/0!</v>
      </c>
      <c r="U20" s="105">
        <f t="shared" si="8"/>
        <v>0.76232876712328768</v>
      </c>
      <c r="V20" s="105" t="e">
        <f t="shared" si="9"/>
        <v>#DIV/0!</v>
      </c>
      <c r="W20" s="288">
        <f t="shared" si="10"/>
        <v>6.2082191780821914</v>
      </c>
      <c r="X20" s="288">
        <f t="shared" si="11"/>
        <v>0</v>
      </c>
      <c r="Y20" s="288">
        <f t="shared" si="12"/>
        <v>0</v>
      </c>
      <c r="Z20" s="288">
        <f t="shared" si="13"/>
        <v>0</v>
      </c>
      <c r="AA20" s="288">
        <f t="shared" si="14"/>
        <v>1.1013698630136985</v>
      </c>
      <c r="AB20" s="288">
        <f t="shared" si="15"/>
        <v>0</v>
      </c>
      <c r="AC20">
        <v>62</v>
      </c>
      <c r="AD20">
        <v>0</v>
      </c>
      <c r="AE20">
        <v>0</v>
      </c>
      <c r="AF20">
        <v>7943</v>
      </c>
      <c r="AG20">
        <v>0</v>
      </c>
      <c r="AH20">
        <v>0</v>
      </c>
      <c r="AI20" s="284">
        <f t="shared" si="16"/>
        <v>0.35099425541316837</v>
      </c>
      <c r="AJ20" s="284" t="e">
        <f t="shared" si="17"/>
        <v>#DIV/0!</v>
      </c>
      <c r="AK20" s="284" t="e">
        <f t="shared" si="18"/>
        <v>#DIV/0!</v>
      </c>
      <c r="AL20" s="272">
        <f t="shared" si="19"/>
        <v>37.138356164383559</v>
      </c>
      <c r="AM20" s="272">
        <f t="shared" si="20"/>
        <v>0</v>
      </c>
      <c r="AN20" s="272">
        <f t="shared" si="21"/>
        <v>0</v>
      </c>
      <c r="AO20">
        <v>5</v>
      </c>
      <c r="AP20">
        <v>0</v>
      </c>
      <c r="AQ20">
        <v>3</v>
      </c>
      <c r="AR20">
        <v>13878</v>
      </c>
      <c r="AS20">
        <v>0</v>
      </c>
      <c r="AT20">
        <v>9237</v>
      </c>
      <c r="AU20">
        <v>126</v>
      </c>
      <c r="AV20">
        <v>54</v>
      </c>
      <c r="AW20" t="s">
        <v>58</v>
      </c>
      <c r="AX20">
        <v>95</v>
      </c>
    </row>
    <row r="21" spans="1:50" x14ac:dyDescent="0.25">
      <c r="A21" s="273">
        <v>310780754</v>
      </c>
      <c r="B21" t="str">
        <f>VLOOKUP(infpen!A21,scansanté2024!$B$12:$L$69,2)</f>
        <v>CH GERARD MARCHANT</v>
      </c>
      <c r="C21" t="s">
        <v>60</v>
      </c>
      <c r="D21" s="74" t="str">
        <f>VLOOKUP(A21,dotpop24!$B$8:$U$67,3)</f>
        <v>EPS</v>
      </c>
      <c r="E21">
        <v>40</v>
      </c>
      <c r="F21">
        <v>0</v>
      </c>
      <c r="G21">
        <v>0</v>
      </c>
      <c r="H21">
        <v>0</v>
      </c>
      <c r="I21">
        <v>0</v>
      </c>
      <c r="J21">
        <v>0</v>
      </c>
      <c r="K21">
        <v>13948</v>
      </c>
      <c r="L21">
        <v>0</v>
      </c>
      <c r="M21">
        <v>0</v>
      </c>
      <c r="N21">
        <v>0</v>
      </c>
      <c r="O21">
        <v>0</v>
      </c>
      <c r="P21">
        <v>0</v>
      </c>
      <c r="Q21" s="105">
        <f t="shared" si="4"/>
        <v>0.95534246575342463</v>
      </c>
      <c r="R21" s="105" t="e">
        <f t="shared" si="5"/>
        <v>#DIV/0!</v>
      </c>
      <c r="S21" s="105" t="e">
        <f t="shared" si="6"/>
        <v>#DIV/0!</v>
      </c>
      <c r="T21" s="105" t="e">
        <f t="shared" si="7"/>
        <v>#DIV/0!</v>
      </c>
      <c r="U21" s="105" t="e">
        <f t="shared" si="8"/>
        <v>#DIV/0!</v>
      </c>
      <c r="V21" s="105" t="e">
        <f t="shared" si="9"/>
        <v>#DIV/0!</v>
      </c>
      <c r="W21" s="288">
        <f t="shared" si="10"/>
        <v>0</v>
      </c>
      <c r="X21" s="288">
        <f t="shared" si="11"/>
        <v>0</v>
      </c>
      <c r="Y21" s="288">
        <f t="shared" si="12"/>
        <v>0</v>
      </c>
      <c r="Z21" s="288">
        <f t="shared" si="13"/>
        <v>0</v>
      </c>
      <c r="AA21" s="288">
        <f t="shared" si="14"/>
        <v>0</v>
      </c>
      <c r="AB21" s="288">
        <f t="shared" si="15"/>
        <v>0</v>
      </c>
      <c r="AC21">
        <v>18</v>
      </c>
      <c r="AD21">
        <v>0</v>
      </c>
      <c r="AE21">
        <v>0</v>
      </c>
      <c r="AF21">
        <v>5273</v>
      </c>
      <c r="AG21">
        <v>0</v>
      </c>
      <c r="AH21">
        <v>0</v>
      </c>
      <c r="AI21" s="284">
        <f t="shared" si="16"/>
        <v>0.80258751902587522</v>
      </c>
      <c r="AJ21" s="284" t="e">
        <f t="shared" si="17"/>
        <v>#DIV/0!</v>
      </c>
      <c r="AK21" s="284" t="e">
        <f t="shared" si="18"/>
        <v>#DIV/0!</v>
      </c>
      <c r="AL21" s="272">
        <f t="shared" si="19"/>
        <v>2.6534246575342464</v>
      </c>
      <c r="AM21" s="272">
        <f t="shared" si="20"/>
        <v>0</v>
      </c>
      <c r="AN21" s="272">
        <f t="shared" si="21"/>
        <v>0</v>
      </c>
      <c r="AO21" t="s">
        <v>58</v>
      </c>
      <c r="AP21" t="s">
        <v>58</v>
      </c>
      <c r="AQ21" t="s">
        <v>58</v>
      </c>
      <c r="AR21" t="s">
        <v>58</v>
      </c>
      <c r="AS21" t="s">
        <v>58</v>
      </c>
      <c r="AT21" t="s">
        <v>58</v>
      </c>
      <c r="AU21">
        <v>31897</v>
      </c>
      <c r="AV21" t="s">
        <v>58</v>
      </c>
      <c r="AW21" t="s">
        <v>58</v>
      </c>
      <c r="AX21" t="s">
        <v>58</v>
      </c>
    </row>
    <row r="22" spans="1:50" x14ac:dyDescent="0.25">
      <c r="A22" s="283">
        <v>820005908</v>
      </c>
      <c r="B22" t="str">
        <f>VLOOKUP(infpen!A22,scansanté2024!$B$12:$L$69,2)</f>
        <v>FONDATION JOHN BOST, PAVILLON LOU CAMIN</v>
      </c>
      <c r="C22" s="108" t="s">
        <v>59</v>
      </c>
      <c r="D22" s="74" t="str">
        <f>VLOOKUP(A22,dotpop24!$B$8:$U$67,3)</f>
        <v>EBNL</v>
      </c>
      <c r="E22" s="108">
        <v>0</v>
      </c>
      <c r="F22" s="108">
        <v>0</v>
      </c>
      <c r="G22" s="108">
        <v>0</v>
      </c>
      <c r="H22" s="108">
        <v>0</v>
      </c>
      <c r="I22" s="108">
        <v>0</v>
      </c>
      <c r="J22" s="108">
        <v>0</v>
      </c>
      <c r="K22" s="108">
        <v>0</v>
      </c>
      <c r="L22" s="108">
        <v>0</v>
      </c>
      <c r="M22" s="108">
        <v>0</v>
      </c>
      <c r="N22" s="108">
        <v>0</v>
      </c>
      <c r="O22" s="108">
        <v>0</v>
      </c>
      <c r="P22" s="108">
        <v>0</v>
      </c>
      <c r="Q22" s="105" t="e">
        <f t="shared" si="4"/>
        <v>#DIV/0!</v>
      </c>
      <c r="R22" s="105" t="e">
        <f t="shared" si="5"/>
        <v>#DIV/0!</v>
      </c>
      <c r="S22" s="105" t="e">
        <f t="shared" si="6"/>
        <v>#DIV/0!</v>
      </c>
      <c r="T22" s="105" t="e">
        <f t="shared" si="7"/>
        <v>#DIV/0!</v>
      </c>
      <c r="U22" s="105" t="e">
        <f t="shared" si="8"/>
        <v>#DIV/0!</v>
      </c>
      <c r="V22" s="105" t="e">
        <f t="shared" si="9"/>
        <v>#DIV/0!</v>
      </c>
      <c r="W22" s="288">
        <f t="shared" si="10"/>
        <v>0</v>
      </c>
      <c r="X22" s="288">
        <f t="shared" si="11"/>
        <v>0</v>
      </c>
      <c r="Y22" s="288">
        <f t="shared" si="12"/>
        <v>0</v>
      </c>
      <c r="Z22" s="288">
        <f t="shared" si="13"/>
        <v>0</v>
      </c>
      <c r="AA22" s="288">
        <f t="shared" si="14"/>
        <v>0</v>
      </c>
      <c r="AB22" s="288">
        <f t="shared" si="15"/>
        <v>0</v>
      </c>
      <c r="AC22" s="108">
        <v>0</v>
      </c>
      <c r="AD22" s="108">
        <v>0</v>
      </c>
      <c r="AE22" s="108">
        <v>0</v>
      </c>
      <c r="AF22" s="108">
        <v>0</v>
      </c>
      <c r="AG22" s="108">
        <v>0</v>
      </c>
      <c r="AH22" s="108">
        <v>0</v>
      </c>
      <c r="AI22" s="284" t="e">
        <f t="shared" si="16"/>
        <v>#DIV/0!</v>
      </c>
      <c r="AJ22" s="284" t="e">
        <f t="shared" si="17"/>
        <v>#DIV/0!</v>
      </c>
      <c r="AK22" s="284" t="e">
        <f t="shared" si="18"/>
        <v>#DIV/0!</v>
      </c>
      <c r="AL22" s="272">
        <f t="shared" si="19"/>
        <v>0</v>
      </c>
      <c r="AM22" s="272">
        <f t="shared" si="20"/>
        <v>0</v>
      </c>
      <c r="AN22" s="272">
        <f t="shared" si="21"/>
        <v>0</v>
      </c>
      <c r="AO22" s="108">
        <v>1</v>
      </c>
      <c r="AP22" s="108" t="s">
        <v>58</v>
      </c>
      <c r="AQ22" s="108" t="s">
        <v>58</v>
      </c>
      <c r="AR22" s="108">
        <v>1694</v>
      </c>
      <c r="AS22" s="108" t="s">
        <v>58</v>
      </c>
      <c r="AT22" s="108" t="s">
        <v>58</v>
      </c>
      <c r="AU22" s="108" t="s">
        <v>58</v>
      </c>
      <c r="AV22" s="108" t="s">
        <v>58</v>
      </c>
      <c r="AW22" s="108" t="s">
        <v>58</v>
      </c>
      <c r="AX22" s="108" t="s">
        <v>58</v>
      </c>
    </row>
    <row r="23" spans="1:50" x14ac:dyDescent="0.25">
      <c r="A23" s="273">
        <v>310780143</v>
      </c>
      <c r="B23" t="str">
        <f>VLOOKUP(infpen!A23,scansanté2024!$B$12:$L$69,2)</f>
        <v>CLINIQUE DU CHATEAU DE SEYSSES</v>
      </c>
      <c r="C23" t="s">
        <v>59</v>
      </c>
      <c r="D23" s="74" t="str">
        <f>VLOOKUP(A23,dotpop24!$B$8:$U$67,3)</f>
        <v>EBL</v>
      </c>
      <c r="E23">
        <v>13</v>
      </c>
      <c r="F23">
        <v>0</v>
      </c>
      <c r="G23">
        <v>0</v>
      </c>
      <c r="H23">
        <v>0</v>
      </c>
      <c r="I23">
        <v>0</v>
      </c>
      <c r="J23">
        <v>0</v>
      </c>
      <c r="K23">
        <v>4618</v>
      </c>
      <c r="L23">
        <v>0</v>
      </c>
      <c r="M23">
        <v>0</v>
      </c>
      <c r="N23">
        <v>0</v>
      </c>
      <c r="O23">
        <v>0</v>
      </c>
      <c r="P23">
        <v>0</v>
      </c>
      <c r="Q23" s="105">
        <f t="shared" si="4"/>
        <v>0.97323498419388832</v>
      </c>
      <c r="R23" s="105" t="e">
        <f t="shared" si="5"/>
        <v>#DIV/0!</v>
      </c>
      <c r="S23" s="105" t="e">
        <f t="shared" si="6"/>
        <v>#DIV/0!</v>
      </c>
      <c r="T23" s="105" t="e">
        <f t="shared" si="7"/>
        <v>#DIV/0!</v>
      </c>
      <c r="U23" s="105" t="e">
        <f t="shared" si="8"/>
        <v>#DIV/0!</v>
      </c>
      <c r="V23" s="105" t="e">
        <f t="shared" si="9"/>
        <v>#DIV/0!</v>
      </c>
      <c r="W23" s="288">
        <f t="shared" si="10"/>
        <v>0</v>
      </c>
      <c r="X23" s="288">
        <f t="shared" si="11"/>
        <v>0</v>
      </c>
      <c r="Y23" s="288">
        <f t="shared" si="12"/>
        <v>0</v>
      </c>
      <c r="Z23" s="288">
        <f t="shared" si="13"/>
        <v>0</v>
      </c>
      <c r="AA23" s="288">
        <f t="shared" si="14"/>
        <v>0</v>
      </c>
      <c r="AB23" s="288">
        <f t="shared" si="15"/>
        <v>0</v>
      </c>
      <c r="AC23">
        <v>0</v>
      </c>
      <c r="AD23">
        <v>0</v>
      </c>
      <c r="AE23">
        <v>0</v>
      </c>
      <c r="AF23">
        <v>0</v>
      </c>
      <c r="AG23">
        <v>0</v>
      </c>
      <c r="AH23">
        <v>0</v>
      </c>
      <c r="AI23" s="284" t="e">
        <f t="shared" si="16"/>
        <v>#DIV/0!</v>
      </c>
      <c r="AJ23" s="284" t="e">
        <f t="shared" si="17"/>
        <v>#DIV/0!</v>
      </c>
      <c r="AK23" s="284" t="e">
        <f t="shared" si="18"/>
        <v>#DIV/0!</v>
      </c>
      <c r="AL23" s="272">
        <f t="shared" si="19"/>
        <v>0</v>
      </c>
      <c r="AM23" s="272">
        <f t="shared" si="20"/>
        <v>0</v>
      </c>
      <c r="AN23" s="272">
        <f t="shared" si="21"/>
        <v>0</v>
      </c>
      <c r="AO23" t="s">
        <v>58</v>
      </c>
      <c r="AP23" t="s">
        <v>58</v>
      </c>
      <c r="AQ23" t="s">
        <v>58</v>
      </c>
      <c r="AR23" t="s">
        <v>58</v>
      </c>
      <c r="AS23" t="s">
        <v>58</v>
      </c>
      <c r="AT23" t="s">
        <v>58</v>
      </c>
      <c r="AU23" t="s">
        <v>58</v>
      </c>
      <c r="AV23" t="s">
        <v>58</v>
      </c>
      <c r="AW23" t="s">
        <v>58</v>
      </c>
      <c r="AX23" t="s">
        <v>58</v>
      </c>
    </row>
    <row r="24" spans="1:50" x14ac:dyDescent="0.25">
      <c r="A24" s="279">
        <v>310780895</v>
      </c>
      <c r="B24" t="str">
        <f>VLOOKUP(infpen!A24,scansanté2024!$B$12:$L$69,2)</f>
        <v>HDJ PSY INF JUV LES AUTANS ARSEAA</v>
      </c>
      <c r="C24" t="s">
        <v>59</v>
      </c>
      <c r="D24" s="74" t="str">
        <f>VLOOKUP(A24,dotpop24!$B$8:$U$67,3)</f>
        <v>EPS</v>
      </c>
      <c r="E24">
        <v>0</v>
      </c>
      <c r="F24">
        <v>0</v>
      </c>
      <c r="G24">
        <v>0</v>
      </c>
      <c r="H24">
        <v>0</v>
      </c>
      <c r="I24">
        <v>0</v>
      </c>
      <c r="J24">
        <v>0</v>
      </c>
      <c r="K24">
        <v>0</v>
      </c>
      <c r="L24">
        <v>0</v>
      </c>
      <c r="M24">
        <v>0</v>
      </c>
      <c r="N24">
        <v>0</v>
      </c>
      <c r="O24">
        <v>0</v>
      </c>
      <c r="P24">
        <v>0</v>
      </c>
      <c r="Q24" s="105" t="e">
        <f t="shared" si="4"/>
        <v>#DIV/0!</v>
      </c>
      <c r="R24" s="105" t="e">
        <f t="shared" si="5"/>
        <v>#DIV/0!</v>
      </c>
      <c r="S24" s="105" t="e">
        <f t="shared" si="6"/>
        <v>#DIV/0!</v>
      </c>
      <c r="T24" s="105" t="e">
        <f t="shared" si="7"/>
        <v>#DIV/0!</v>
      </c>
      <c r="U24" s="105" t="e">
        <f t="shared" si="8"/>
        <v>#DIV/0!</v>
      </c>
      <c r="V24" s="105" t="e">
        <f t="shared" si="9"/>
        <v>#DIV/0!</v>
      </c>
      <c r="W24" s="288">
        <f t="shared" si="10"/>
        <v>0</v>
      </c>
      <c r="X24" s="288">
        <f t="shared" si="11"/>
        <v>0</v>
      </c>
      <c r="Y24" s="288">
        <f t="shared" si="12"/>
        <v>0</v>
      </c>
      <c r="Z24" s="288">
        <f t="shared" si="13"/>
        <v>0</v>
      </c>
      <c r="AA24" s="288">
        <f t="shared" si="14"/>
        <v>0</v>
      </c>
      <c r="AB24" s="288">
        <f t="shared" si="15"/>
        <v>0</v>
      </c>
      <c r="AC24">
        <v>90</v>
      </c>
      <c r="AD24">
        <v>0</v>
      </c>
      <c r="AE24">
        <v>0</v>
      </c>
      <c r="AF24">
        <v>7280</v>
      </c>
      <c r="AG24">
        <v>0</v>
      </c>
      <c r="AH24">
        <v>0</v>
      </c>
      <c r="AI24" s="284">
        <f t="shared" si="16"/>
        <v>0.22161339421613394</v>
      </c>
      <c r="AJ24" s="284" t="e">
        <f t="shared" si="17"/>
        <v>#DIV/0!</v>
      </c>
      <c r="AK24" s="284" t="e">
        <f t="shared" si="18"/>
        <v>#DIV/0!</v>
      </c>
      <c r="AL24" s="272">
        <f t="shared" si="19"/>
        <v>65.554794520547944</v>
      </c>
      <c r="AM24" s="272">
        <f t="shared" si="20"/>
        <v>0</v>
      </c>
      <c r="AN24" s="272">
        <f t="shared" si="21"/>
        <v>0</v>
      </c>
      <c r="AO24">
        <v>12</v>
      </c>
      <c r="AP24">
        <v>3</v>
      </c>
      <c r="AQ24">
        <v>6</v>
      </c>
      <c r="AR24">
        <v>33892</v>
      </c>
      <c r="AS24">
        <v>1929</v>
      </c>
      <c r="AT24">
        <v>12998</v>
      </c>
      <c r="AU24">
        <v>153</v>
      </c>
      <c r="AV24">
        <v>27</v>
      </c>
      <c r="AW24">
        <v>1961</v>
      </c>
      <c r="AX24">
        <v>149</v>
      </c>
    </row>
    <row r="25" spans="1:50" x14ac:dyDescent="0.25">
      <c r="A25" s="273">
        <v>310781406</v>
      </c>
      <c r="B25" t="str">
        <f>VLOOKUP(infpen!A25,scansanté2024!$B$12:$L$69,2)</f>
        <v>CHU TOULOUSE</v>
      </c>
      <c r="C25" t="s">
        <v>59</v>
      </c>
      <c r="D25" s="74" t="str">
        <f>VLOOKUP(A25,dotpop24!$B$8:$U$67,3)</f>
        <v>EPS</v>
      </c>
      <c r="E25">
        <v>11</v>
      </c>
      <c r="F25">
        <v>0</v>
      </c>
      <c r="G25">
        <v>0</v>
      </c>
      <c r="H25">
        <v>0</v>
      </c>
      <c r="I25">
        <v>6</v>
      </c>
      <c r="J25">
        <v>0</v>
      </c>
      <c r="K25">
        <v>3932</v>
      </c>
      <c r="L25">
        <v>0</v>
      </c>
      <c r="M25">
        <v>0</v>
      </c>
      <c r="N25">
        <v>0</v>
      </c>
      <c r="O25">
        <v>1922</v>
      </c>
      <c r="P25">
        <v>0</v>
      </c>
      <c r="Q25" s="105">
        <f t="shared" si="4"/>
        <v>0.9793275217932752</v>
      </c>
      <c r="R25" s="105" t="e">
        <f t="shared" si="5"/>
        <v>#DIV/0!</v>
      </c>
      <c r="S25" s="105" t="e">
        <f t="shared" si="6"/>
        <v>#DIV/0!</v>
      </c>
      <c r="T25" s="105" t="e">
        <f t="shared" si="7"/>
        <v>#DIV/0!</v>
      </c>
      <c r="U25" s="105">
        <f t="shared" si="8"/>
        <v>0.87762557077625569</v>
      </c>
      <c r="V25" s="105" t="e">
        <f t="shared" si="9"/>
        <v>#DIV/0!</v>
      </c>
      <c r="W25" s="288">
        <f t="shared" si="10"/>
        <v>0</v>
      </c>
      <c r="X25" s="288">
        <f t="shared" si="11"/>
        <v>0</v>
      </c>
      <c r="Y25" s="288">
        <f t="shared" si="12"/>
        <v>0</v>
      </c>
      <c r="Z25" s="288">
        <f t="shared" si="13"/>
        <v>0</v>
      </c>
      <c r="AA25" s="288">
        <f t="shared" si="14"/>
        <v>0.13424657534246576</v>
      </c>
      <c r="AB25" s="288">
        <f t="shared" si="15"/>
        <v>0</v>
      </c>
      <c r="AC25">
        <v>60</v>
      </c>
      <c r="AD25">
        <v>0</v>
      </c>
      <c r="AE25">
        <v>0</v>
      </c>
      <c r="AF25">
        <v>7558</v>
      </c>
      <c r="AG25">
        <v>0</v>
      </c>
      <c r="AH25">
        <v>0</v>
      </c>
      <c r="AI25" s="284">
        <f t="shared" si="16"/>
        <v>0.34511415525114153</v>
      </c>
      <c r="AJ25" s="284" t="e">
        <f t="shared" si="17"/>
        <v>#DIV/0!</v>
      </c>
      <c r="AK25" s="284" t="e">
        <f t="shared" si="18"/>
        <v>#DIV/0!</v>
      </c>
      <c r="AL25" s="272">
        <f t="shared" si="19"/>
        <v>36.293150684931504</v>
      </c>
      <c r="AM25" s="272">
        <f t="shared" si="20"/>
        <v>0</v>
      </c>
      <c r="AN25" s="272">
        <f t="shared" si="21"/>
        <v>0</v>
      </c>
      <c r="AO25">
        <v>5</v>
      </c>
      <c r="AP25">
        <v>5</v>
      </c>
      <c r="AQ25">
        <v>1</v>
      </c>
      <c r="AR25">
        <v>17514</v>
      </c>
      <c r="AS25">
        <v>12272</v>
      </c>
      <c r="AT25">
        <v>4005</v>
      </c>
      <c r="AU25">
        <v>844</v>
      </c>
      <c r="AV25">
        <v>20</v>
      </c>
      <c r="AW25">
        <v>8328</v>
      </c>
      <c r="AX25">
        <v>56</v>
      </c>
    </row>
    <row r="26" spans="1:50" x14ac:dyDescent="0.25">
      <c r="A26" s="273">
        <v>310781406</v>
      </c>
      <c r="B26" t="str">
        <f>VLOOKUP(infpen!A26,scansanté2024!$B$12:$L$69,2)</f>
        <v>CHU TOULOUSE</v>
      </c>
      <c r="C26" t="s">
        <v>60</v>
      </c>
      <c r="D26" s="74" t="str">
        <f>VLOOKUP(A26,dotpop24!$B$8:$U$67,3)</f>
        <v>EPS</v>
      </c>
      <c r="E26">
        <v>0</v>
      </c>
      <c r="F26">
        <v>0</v>
      </c>
      <c r="G26">
        <v>0</v>
      </c>
      <c r="H26">
        <v>0</v>
      </c>
      <c r="I26">
        <v>0</v>
      </c>
      <c r="J26">
        <v>0</v>
      </c>
      <c r="K26">
        <v>0</v>
      </c>
      <c r="L26">
        <v>0</v>
      </c>
      <c r="M26">
        <v>0</v>
      </c>
      <c r="N26">
        <v>0</v>
      </c>
      <c r="O26">
        <v>0</v>
      </c>
      <c r="P26">
        <v>0</v>
      </c>
      <c r="Q26" s="105" t="e">
        <f t="shared" si="4"/>
        <v>#DIV/0!</v>
      </c>
      <c r="R26" s="105" t="e">
        <f t="shared" si="5"/>
        <v>#DIV/0!</v>
      </c>
      <c r="S26" s="105" t="e">
        <f t="shared" si="6"/>
        <v>#DIV/0!</v>
      </c>
      <c r="T26" s="105" t="e">
        <f t="shared" si="7"/>
        <v>#DIV/0!</v>
      </c>
      <c r="U26" s="105" t="e">
        <f t="shared" si="8"/>
        <v>#DIV/0!</v>
      </c>
      <c r="V26" s="105" t="e">
        <f t="shared" si="9"/>
        <v>#DIV/0!</v>
      </c>
      <c r="W26" s="288">
        <f t="shared" si="10"/>
        <v>0</v>
      </c>
      <c r="X26" s="288">
        <f t="shared" si="11"/>
        <v>0</v>
      </c>
      <c r="Y26" s="288">
        <f t="shared" si="12"/>
        <v>0</v>
      </c>
      <c r="Z26" s="288">
        <f t="shared" si="13"/>
        <v>0</v>
      </c>
      <c r="AA26" s="288">
        <f t="shared" si="14"/>
        <v>0</v>
      </c>
      <c r="AB26" s="288">
        <f t="shared" si="15"/>
        <v>0</v>
      </c>
      <c r="AC26">
        <v>0</v>
      </c>
      <c r="AD26">
        <v>0</v>
      </c>
      <c r="AE26">
        <v>0</v>
      </c>
      <c r="AF26">
        <v>0</v>
      </c>
      <c r="AG26">
        <v>0</v>
      </c>
      <c r="AH26">
        <v>0</v>
      </c>
      <c r="AI26" s="284" t="e">
        <f t="shared" si="16"/>
        <v>#DIV/0!</v>
      </c>
      <c r="AJ26" s="284" t="e">
        <f t="shared" si="17"/>
        <v>#DIV/0!</v>
      </c>
      <c r="AK26" s="284" t="e">
        <f t="shared" si="18"/>
        <v>#DIV/0!</v>
      </c>
      <c r="AL26" s="272">
        <f t="shared" si="19"/>
        <v>0</v>
      </c>
      <c r="AM26" s="272">
        <f t="shared" si="20"/>
        <v>0</v>
      </c>
      <c r="AN26" s="272">
        <f t="shared" si="21"/>
        <v>0</v>
      </c>
      <c r="AO26" t="s">
        <v>58</v>
      </c>
      <c r="AP26" t="s">
        <v>58</v>
      </c>
      <c r="AQ26" t="s">
        <v>58</v>
      </c>
      <c r="AR26" t="s">
        <v>58</v>
      </c>
      <c r="AS26" t="s">
        <v>58</v>
      </c>
      <c r="AT26" t="s">
        <v>58</v>
      </c>
      <c r="AU26" t="s">
        <v>58</v>
      </c>
      <c r="AV26" t="s">
        <v>58</v>
      </c>
      <c r="AW26" t="s">
        <v>58</v>
      </c>
      <c r="AX26" t="s">
        <v>58</v>
      </c>
    </row>
    <row r="27" spans="1:50" x14ac:dyDescent="0.25">
      <c r="A27" s="273">
        <v>320780125</v>
      </c>
      <c r="B27" t="str">
        <f>VLOOKUP(infpen!A27,scansanté2024!$B$12:$L$69,2)</f>
        <v>CH DU GERS</v>
      </c>
      <c r="C27" t="s">
        <v>59</v>
      </c>
      <c r="D27" s="74" t="str">
        <f>VLOOKUP(A27,dotpop24!$B$8:$U$67,3)</f>
        <v>EPS</v>
      </c>
      <c r="E27">
        <v>5</v>
      </c>
      <c r="F27">
        <v>0</v>
      </c>
      <c r="G27">
        <v>0</v>
      </c>
      <c r="H27">
        <v>0</v>
      </c>
      <c r="I27">
        <v>0</v>
      </c>
      <c r="J27">
        <v>0</v>
      </c>
      <c r="K27">
        <v>1521</v>
      </c>
      <c r="L27">
        <v>0</v>
      </c>
      <c r="M27">
        <v>0</v>
      </c>
      <c r="N27">
        <v>0</v>
      </c>
      <c r="O27">
        <v>0</v>
      </c>
      <c r="P27">
        <v>0</v>
      </c>
      <c r="Q27" s="105">
        <f t="shared" si="4"/>
        <v>0.83342465753424655</v>
      </c>
      <c r="R27" s="105" t="e">
        <f t="shared" si="5"/>
        <v>#DIV/0!</v>
      </c>
      <c r="S27" s="105" t="e">
        <f t="shared" si="6"/>
        <v>#DIV/0!</v>
      </c>
      <c r="T27" s="105" t="e">
        <f t="shared" si="7"/>
        <v>#DIV/0!</v>
      </c>
      <c r="U27" s="105" t="e">
        <f t="shared" si="8"/>
        <v>#DIV/0!</v>
      </c>
      <c r="V27" s="105" t="e">
        <f t="shared" si="9"/>
        <v>#DIV/0!</v>
      </c>
      <c r="W27" s="288">
        <f t="shared" si="10"/>
        <v>0.33287671232876714</v>
      </c>
      <c r="X27" s="288">
        <f t="shared" si="11"/>
        <v>0</v>
      </c>
      <c r="Y27" s="288">
        <f t="shared" si="12"/>
        <v>0</v>
      </c>
      <c r="Z27" s="288">
        <f t="shared" si="13"/>
        <v>0</v>
      </c>
      <c r="AA27" s="288">
        <f t="shared" si="14"/>
        <v>0</v>
      </c>
      <c r="AB27" s="288">
        <f t="shared" si="15"/>
        <v>0</v>
      </c>
      <c r="AC27">
        <v>9</v>
      </c>
      <c r="AD27">
        <v>2</v>
      </c>
      <c r="AE27">
        <v>0</v>
      </c>
      <c r="AF27">
        <v>956</v>
      </c>
      <c r="AG27">
        <v>172</v>
      </c>
      <c r="AH27">
        <v>0</v>
      </c>
      <c r="AI27" s="284">
        <f t="shared" si="16"/>
        <v>0.29101978691019786</v>
      </c>
      <c r="AJ27" s="284">
        <f t="shared" si="17"/>
        <v>0.23561643835616439</v>
      </c>
      <c r="AK27" s="284" t="e">
        <f t="shared" si="18"/>
        <v>#DIV/0!</v>
      </c>
      <c r="AL27" s="272">
        <f t="shared" si="19"/>
        <v>5.9308219178082195</v>
      </c>
      <c r="AM27" s="272">
        <f t="shared" si="20"/>
        <v>1.4287671232876713</v>
      </c>
      <c r="AN27" s="272">
        <f t="shared" si="21"/>
        <v>0</v>
      </c>
      <c r="AO27">
        <v>5</v>
      </c>
      <c r="AP27">
        <v>3</v>
      </c>
      <c r="AQ27">
        <v>0</v>
      </c>
      <c r="AR27">
        <v>8195</v>
      </c>
      <c r="AS27">
        <v>2293</v>
      </c>
      <c r="AT27">
        <v>0</v>
      </c>
      <c r="AU27">
        <v>766</v>
      </c>
      <c r="AV27">
        <v>58</v>
      </c>
      <c r="AW27">
        <v>222</v>
      </c>
      <c r="AX27">
        <v>11</v>
      </c>
    </row>
    <row r="28" spans="1:50" x14ac:dyDescent="0.25">
      <c r="A28" s="281">
        <v>340780055</v>
      </c>
      <c r="B28" t="str">
        <f>VLOOKUP(infpen!A28,scansanté2024!$B$12:$L$69,2)</f>
        <v>CH BEZIERS</v>
      </c>
      <c r="C28" s="108" t="s">
        <v>59</v>
      </c>
      <c r="D28" s="74" t="str">
        <f>VLOOKUP(A28,dotpop24!$B$8:$U$67,3)</f>
        <v>EPS</v>
      </c>
      <c r="E28" s="108">
        <v>0</v>
      </c>
      <c r="F28" s="108">
        <v>0</v>
      </c>
      <c r="G28" s="108">
        <v>0</v>
      </c>
      <c r="H28" s="108">
        <v>0</v>
      </c>
      <c r="I28" s="108">
        <v>0</v>
      </c>
      <c r="J28" s="108">
        <v>0</v>
      </c>
      <c r="K28" s="108">
        <v>320</v>
      </c>
      <c r="L28" s="108">
        <v>0</v>
      </c>
      <c r="M28" s="108">
        <v>0</v>
      </c>
      <c r="N28" s="108">
        <v>0</v>
      </c>
      <c r="O28" s="108">
        <v>0</v>
      </c>
      <c r="P28" s="108">
        <v>0</v>
      </c>
      <c r="Q28" s="105" t="e">
        <f t="shared" si="4"/>
        <v>#DIV/0!</v>
      </c>
      <c r="R28" s="105" t="e">
        <f t="shared" si="5"/>
        <v>#DIV/0!</v>
      </c>
      <c r="S28" s="105" t="e">
        <f t="shared" si="6"/>
        <v>#DIV/0!</v>
      </c>
      <c r="T28" s="105" t="e">
        <f t="shared" si="7"/>
        <v>#DIV/0!</v>
      </c>
      <c r="U28" s="105" t="e">
        <f t="shared" si="8"/>
        <v>#DIV/0!</v>
      </c>
      <c r="V28" s="105" t="e">
        <f t="shared" si="9"/>
        <v>#DIV/0!</v>
      </c>
      <c r="W28" s="288">
        <f t="shared" si="10"/>
        <v>0</v>
      </c>
      <c r="X28" s="288">
        <f t="shared" si="11"/>
        <v>0</v>
      </c>
      <c r="Y28" s="288">
        <f t="shared" si="12"/>
        <v>0</v>
      </c>
      <c r="Z28" s="288">
        <f t="shared" si="13"/>
        <v>0</v>
      </c>
      <c r="AA28" s="288">
        <f t="shared" si="14"/>
        <v>0</v>
      </c>
      <c r="AB28" s="288">
        <f t="shared" si="15"/>
        <v>0</v>
      </c>
      <c r="AC28" s="108">
        <v>0</v>
      </c>
      <c r="AD28" s="108">
        <v>0</v>
      </c>
      <c r="AE28" s="108">
        <v>0</v>
      </c>
      <c r="AF28" s="108">
        <v>0</v>
      </c>
      <c r="AG28" s="108">
        <v>0</v>
      </c>
      <c r="AH28" s="108">
        <v>0</v>
      </c>
      <c r="AI28" s="284" t="e">
        <f t="shared" si="16"/>
        <v>#DIV/0!</v>
      </c>
      <c r="AJ28" s="284" t="e">
        <f t="shared" si="17"/>
        <v>#DIV/0!</v>
      </c>
      <c r="AK28" s="284" t="e">
        <f t="shared" si="18"/>
        <v>#DIV/0!</v>
      </c>
      <c r="AL28" s="272">
        <f t="shared" si="19"/>
        <v>0</v>
      </c>
      <c r="AM28" s="272">
        <f t="shared" si="20"/>
        <v>0</v>
      </c>
      <c r="AN28" s="272">
        <f t="shared" si="21"/>
        <v>0</v>
      </c>
      <c r="AO28" s="108" t="s">
        <v>58</v>
      </c>
      <c r="AP28" s="108">
        <v>1</v>
      </c>
      <c r="AQ28" s="108" t="s">
        <v>58</v>
      </c>
      <c r="AR28" s="108" t="s">
        <v>58</v>
      </c>
      <c r="AS28" s="108">
        <v>83</v>
      </c>
      <c r="AT28" s="108" t="s">
        <v>58</v>
      </c>
      <c r="AU28" s="108" t="s">
        <v>58</v>
      </c>
      <c r="AV28" s="108">
        <v>3</v>
      </c>
      <c r="AW28" s="108">
        <v>448</v>
      </c>
      <c r="AX28" s="108" t="s">
        <v>58</v>
      </c>
    </row>
    <row r="29" spans="1:50" x14ac:dyDescent="0.25">
      <c r="A29" s="273">
        <v>340780055</v>
      </c>
      <c r="B29" t="str">
        <f>VLOOKUP(infpen!A29,scansanté2024!$B$12:$L$69,2)</f>
        <v>CH BEZIERS</v>
      </c>
      <c r="C29" t="s">
        <v>60</v>
      </c>
      <c r="D29" s="74" t="str">
        <f>VLOOKUP(A29,dotpop24!$B$8:$U$67,3)</f>
        <v>EPS</v>
      </c>
      <c r="E29">
        <v>0</v>
      </c>
      <c r="F29">
        <v>0</v>
      </c>
      <c r="G29">
        <v>0</v>
      </c>
      <c r="H29">
        <v>0</v>
      </c>
      <c r="I29">
        <v>0</v>
      </c>
      <c r="J29">
        <v>0</v>
      </c>
      <c r="K29">
        <v>0</v>
      </c>
      <c r="L29">
        <v>0</v>
      </c>
      <c r="M29">
        <v>0</v>
      </c>
      <c r="N29">
        <v>0</v>
      </c>
      <c r="O29">
        <v>0</v>
      </c>
      <c r="P29">
        <v>0</v>
      </c>
      <c r="Q29" s="105" t="e">
        <f t="shared" si="4"/>
        <v>#DIV/0!</v>
      </c>
      <c r="R29" s="105" t="e">
        <f t="shared" si="5"/>
        <v>#DIV/0!</v>
      </c>
      <c r="S29" s="105" t="e">
        <f t="shared" si="6"/>
        <v>#DIV/0!</v>
      </c>
      <c r="T29" s="105" t="e">
        <f t="shared" si="7"/>
        <v>#DIV/0!</v>
      </c>
      <c r="U29" s="105" t="e">
        <f t="shared" si="8"/>
        <v>#DIV/0!</v>
      </c>
      <c r="V29" s="105" t="e">
        <f t="shared" si="9"/>
        <v>#DIV/0!</v>
      </c>
      <c r="W29" s="288">
        <f t="shared" si="10"/>
        <v>0</v>
      </c>
      <c r="X29" s="288">
        <f t="shared" si="11"/>
        <v>0</v>
      </c>
      <c r="Y29" s="288">
        <f t="shared" si="12"/>
        <v>0</v>
      </c>
      <c r="Z29" s="288">
        <f t="shared" si="13"/>
        <v>0</v>
      </c>
      <c r="AA29" s="288">
        <f t="shared" si="14"/>
        <v>0</v>
      </c>
      <c r="AB29" s="288">
        <f t="shared" si="15"/>
        <v>0</v>
      </c>
      <c r="AC29">
        <v>0</v>
      </c>
      <c r="AD29">
        <v>0</v>
      </c>
      <c r="AE29">
        <v>0</v>
      </c>
      <c r="AF29">
        <v>0</v>
      </c>
      <c r="AG29">
        <v>0</v>
      </c>
      <c r="AH29">
        <v>0</v>
      </c>
      <c r="AI29" s="284" t="e">
        <f t="shared" si="16"/>
        <v>#DIV/0!</v>
      </c>
      <c r="AJ29" s="284" t="e">
        <f t="shared" si="17"/>
        <v>#DIV/0!</v>
      </c>
      <c r="AK29" s="284" t="e">
        <f t="shared" si="18"/>
        <v>#DIV/0!</v>
      </c>
      <c r="AL29" s="272">
        <f t="shared" si="19"/>
        <v>0</v>
      </c>
      <c r="AM29" s="272">
        <f t="shared" si="20"/>
        <v>0</v>
      </c>
      <c r="AN29" s="272">
        <f t="shared" si="21"/>
        <v>0</v>
      </c>
      <c r="AO29" t="s">
        <v>58</v>
      </c>
      <c r="AP29" t="s">
        <v>58</v>
      </c>
      <c r="AQ29" t="s">
        <v>58</v>
      </c>
      <c r="AR29" t="s">
        <v>58</v>
      </c>
      <c r="AS29" t="s">
        <v>58</v>
      </c>
      <c r="AT29" t="s">
        <v>58</v>
      </c>
      <c r="AU29">
        <v>5181</v>
      </c>
      <c r="AV29" t="s">
        <v>58</v>
      </c>
      <c r="AW29" t="s">
        <v>58</v>
      </c>
      <c r="AX29" t="s">
        <v>58</v>
      </c>
    </row>
    <row r="30" spans="1:50" x14ac:dyDescent="0.25">
      <c r="A30" s="281">
        <v>340011295</v>
      </c>
      <c r="B30" t="str">
        <f>VLOOKUP(infpen!A30,scansanté2024!$B$12:$L$69,2)</f>
        <v>LES HÔPITAUX DU BASSIN DE THAU</v>
      </c>
      <c r="C30" s="108" t="s">
        <v>59</v>
      </c>
      <c r="D30" s="74" t="str">
        <f>VLOOKUP(A30,dotpop24!$B$8:$U$67,3)</f>
        <v>EPS</v>
      </c>
      <c r="E30" s="108">
        <v>0</v>
      </c>
      <c r="F30" s="108">
        <v>0</v>
      </c>
      <c r="G30" s="108">
        <v>0</v>
      </c>
      <c r="H30" s="108">
        <v>0</v>
      </c>
      <c r="I30" s="108">
        <v>0</v>
      </c>
      <c r="J30" s="108">
        <v>0</v>
      </c>
      <c r="K30" s="108">
        <v>0</v>
      </c>
      <c r="L30" s="108">
        <v>0</v>
      </c>
      <c r="M30" s="108">
        <v>0</v>
      </c>
      <c r="N30" s="108">
        <v>0</v>
      </c>
      <c r="O30" s="108">
        <v>0</v>
      </c>
      <c r="P30" s="108">
        <v>0</v>
      </c>
      <c r="Q30" s="105" t="e">
        <f t="shared" si="4"/>
        <v>#DIV/0!</v>
      </c>
      <c r="R30" s="105" t="e">
        <f t="shared" si="5"/>
        <v>#DIV/0!</v>
      </c>
      <c r="S30" s="105" t="e">
        <f t="shared" si="6"/>
        <v>#DIV/0!</v>
      </c>
      <c r="T30" s="105" t="e">
        <f t="shared" si="7"/>
        <v>#DIV/0!</v>
      </c>
      <c r="U30" s="105" t="e">
        <f t="shared" si="8"/>
        <v>#DIV/0!</v>
      </c>
      <c r="V30" s="105" t="e">
        <f t="shared" si="9"/>
        <v>#DIV/0!</v>
      </c>
      <c r="W30" s="288">
        <f t="shared" si="10"/>
        <v>0</v>
      </c>
      <c r="X30" s="288">
        <f t="shared" si="11"/>
        <v>0</v>
      </c>
      <c r="Y30" s="288">
        <f t="shared" si="12"/>
        <v>0</v>
      </c>
      <c r="Z30" s="288">
        <f t="shared" si="13"/>
        <v>0</v>
      </c>
      <c r="AA30" s="288">
        <f t="shared" si="14"/>
        <v>0</v>
      </c>
      <c r="AB30" s="288">
        <f t="shared" si="15"/>
        <v>0</v>
      </c>
      <c r="AC30" s="108">
        <v>0</v>
      </c>
      <c r="AD30" s="108">
        <v>0</v>
      </c>
      <c r="AE30" s="108">
        <v>0</v>
      </c>
      <c r="AF30" s="108">
        <v>0</v>
      </c>
      <c r="AG30" s="108">
        <v>0</v>
      </c>
      <c r="AH30" s="108">
        <v>0</v>
      </c>
      <c r="AI30" s="284" t="e">
        <f t="shared" si="16"/>
        <v>#DIV/0!</v>
      </c>
      <c r="AJ30" s="284" t="e">
        <f t="shared" si="17"/>
        <v>#DIV/0!</v>
      </c>
      <c r="AK30" s="284" t="e">
        <f t="shared" si="18"/>
        <v>#DIV/0!</v>
      </c>
      <c r="AL30" s="272">
        <f t="shared" si="19"/>
        <v>0</v>
      </c>
      <c r="AM30" s="272">
        <f t="shared" si="20"/>
        <v>0</v>
      </c>
      <c r="AN30" s="272">
        <f t="shared" si="21"/>
        <v>0</v>
      </c>
      <c r="AO30" s="108" t="s">
        <v>58</v>
      </c>
      <c r="AP30" s="108" t="s">
        <v>58</v>
      </c>
      <c r="AQ30" s="108" t="s">
        <v>58</v>
      </c>
      <c r="AR30" s="108" t="s">
        <v>58</v>
      </c>
      <c r="AS30" s="108" t="s">
        <v>58</v>
      </c>
      <c r="AT30" s="108" t="s">
        <v>58</v>
      </c>
      <c r="AU30" s="108" t="s">
        <v>58</v>
      </c>
      <c r="AV30" s="108" t="s">
        <v>58</v>
      </c>
      <c r="AW30" s="108" t="s">
        <v>58</v>
      </c>
      <c r="AX30" s="108" t="s">
        <v>58</v>
      </c>
    </row>
    <row r="31" spans="1:50" x14ac:dyDescent="0.25">
      <c r="A31" s="281">
        <v>340780055</v>
      </c>
      <c r="B31" t="str">
        <f>VLOOKUP(infpen!A31,scansanté2024!$B$12:$L$69,2)</f>
        <v>CH BEZIERS</v>
      </c>
      <c r="C31" s="108" t="s">
        <v>59</v>
      </c>
      <c r="D31" s="74" t="str">
        <f>VLOOKUP(A31,dotpop24!$B$8:$U$67,3)</f>
        <v>EPS</v>
      </c>
      <c r="E31" s="108">
        <v>0</v>
      </c>
      <c r="F31" s="108">
        <v>2</v>
      </c>
      <c r="G31" s="108">
        <v>0</v>
      </c>
      <c r="H31" s="108">
        <v>0</v>
      </c>
      <c r="I31" s="108">
        <v>0</v>
      </c>
      <c r="J31" s="108">
        <v>0</v>
      </c>
      <c r="K31" s="108">
        <v>0</v>
      </c>
      <c r="L31" s="108">
        <v>118</v>
      </c>
      <c r="M31" s="108">
        <v>0</v>
      </c>
      <c r="N31" s="108">
        <v>0</v>
      </c>
      <c r="O31" s="108">
        <v>0</v>
      </c>
      <c r="P31" s="108">
        <v>0</v>
      </c>
      <c r="Q31" s="105" t="e">
        <f t="shared" si="4"/>
        <v>#DIV/0!</v>
      </c>
      <c r="R31" s="105">
        <f t="shared" si="5"/>
        <v>0.16164383561643836</v>
      </c>
      <c r="S31" s="105" t="e">
        <f t="shared" si="6"/>
        <v>#DIV/0!</v>
      </c>
      <c r="T31" s="105" t="e">
        <f t="shared" si="7"/>
        <v>#DIV/0!</v>
      </c>
      <c r="U31" s="105" t="e">
        <f t="shared" si="8"/>
        <v>#DIV/0!</v>
      </c>
      <c r="V31" s="105" t="e">
        <f t="shared" si="9"/>
        <v>#DIV/0!</v>
      </c>
      <c r="W31" s="288">
        <f t="shared" si="10"/>
        <v>0</v>
      </c>
      <c r="X31" s="288">
        <f t="shared" si="11"/>
        <v>1.4767123287671233</v>
      </c>
      <c r="Y31" s="288">
        <f t="shared" si="12"/>
        <v>0</v>
      </c>
      <c r="Z31" s="288">
        <f t="shared" si="13"/>
        <v>0</v>
      </c>
      <c r="AA31" s="288">
        <f t="shared" si="14"/>
        <v>0</v>
      </c>
      <c r="AB31" s="288">
        <f t="shared" si="15"/>
        <v>0</v>
      </c>
      <c r="AC31" s="108">
        <v>12</v>
      </c>
      <c r="AD31" s="108">
        <v>0</v>
      </c>
      <c r="AE31" s="108">
        <v>0</v>
      </c>
      <c r="AF31" s="108">
        <v>2776</v>
      </c>
      <c r="AG31" s="108">
        <v>0</v>
      </c>
      <c r="AH31" s="108">
        <v>0</v>
      </c>
      <c r="AI31" s="284">
        <f t="shared" si="16"/>
        <v>0.63378995433789953</v>
      </c>
      <c r="AJ31" s="284" t="e">
        <f t="shared" si="17"/>
        <v>#DIV/0!</v>
      </c>
      <c r="AK31" s="284" t="e">
        <f t="shared" si="18"/>
        <v>#DIV/0!</v>
      </c>
      <c r="AL31" s="272">
        <f t="shared" si="19"/>
        <v>3.7945205479452055</v>
      </c>
      <c r="AM31" s="272">
        <f t="shared" si="20"/>
        <v>0</v>
      </c>
      <c r="AN31" s="272">
        <f t="shared" si="21"/>
        <v>0</v>
      </c>
      <c r="AO31" s="108">
        <v>4</v>
      </c>
      <c r="AP31" s="108">
        <v>1</v>
      </c>
      <c r="AQ31" s="108" t="s">
        <v>58</v>
      </c>
      <c r="AR31" s="108">
        <v>15881</v>
      </c>
      <c r="AS31" s="108">
        <v>51</v>
      </c>
      <c r="AT31" s="108" t="s">
        <v>58</v>
      </c>
      <c r="AU31" s="108">
        <v>332</v>
      </c>
      <c r="AV31" s="108" t="s">
        <v>58</v>
      </c>
      <c r="AW31" s="108">
        <v>323</v>
      </c>
      <c r="AX31" s="108">
        <v>3</v>
      </c>
    </row>
    <row r="32" spans="1:50" x14ac:dyDescent="0.25">
      <c r="A32" s="273">
        <v>340780477</v>
      </c>
      <c r="B32" t="str">
        <f>VLOOKUP(infpen!A32,scansanté2024!$B$12:$L$69,2)</f>
        <v>CHU MONTPELLIER</v>
      </c>
      <c r="C32" t="s">
        <v>59</v>
      </c>
      <c r="D32" s="74" t="str">
        <f>VLOOKUP(A32,dotpop24!$B$8:$U$67,3)</f>
        <v>EPS</v>
      </c>
      <c r="E32">
        <v>0</v>
      </c>
      <c r="F32">
        <v>2</v>
      </c>
      <c r="G32">
        <v>0</v>
      </c>
      <c r="H32">
        <v>0</v>
      </c>
      <c r="I32">
        <v>0</v>
      </c>
      <c r="J32">
        <v>0</v>
      </c>
      <c r="K32">
        <v>0</v>
      </c>
      <c r="L32">
        <v>80</v>
      </c>
      <c r="M32">
        <v>0</v>
      </c>
      <c r="N32">
        <v>0</v>
      </c>
      <c r="O32">
        <v>0</v>
      </c>
      <c r="P32">
        <v>0</v>
      </c>
      <c r="Q32" s="105" t="e">
        <f t="shared" si="4"/>
        <v>#DIV/0!</v>
      </c>
      <c r="R32" s="105">
        <f t="shared" si="5"/>
        <v>0.1095890410958904</v>
      </c>
      <c r="S32" s="105" t="e">
        <f t="shared" si="6"/>
        <v>#DIV/0!</v>
      </c>
      <c r="T32" s="105" t="e">
        <f t="shared" si="7"/>
        <v>#DIV/0!</v>
      </c>
      <c r="U32" s="105" t="e">
        <f t="shared" si="8"/>
        <v>#DIV/0!</v>
      </c>
      <c r="V32" s="105" t="e">
        <f t="shared" si="9"/>
        <v>#DIV/0!</v>
      </c>
      <c r="W32" s="288">
        <f t="shared" si="10"/>
        <v>0</v>
      </c>
      <c r="X32" s="288">
        <f t="shared" si="11"/>
        <v>1.5808219178082192</v>
      </c>
      <c r="Y32" s="288">
        <f t="shared" si="12"/>
        <v>0</v>
      </c>
      <c r="Z32" s="288">
        <f t="shared" si="13"/>
        <v>0</v>
      </c>
      <c r="AA32" s="288">
        <f t="shared" si="14"/>
        <v>0</v>
      </c>
      <c r="AB32" s="288">
        <f t="shared" si="15"/>
        <v>0</v>
      </c>
      <c r="AC32">
        <v>32</v>
      </c>
      <c r="AD32">
        <v>0</v>
      </c>
      <c r="AE32">
        <v>0</v>
      </c>
      <c r="AF32">
        <v>4255</v>
      </c>
      <c r="AG32">
        <v>0</v>
      </c>
      <c r="AH32">
        <v>0</v>
      </c>
      <c r="AI32" s="284">
        <f t="shared" si="16"/>
        <v>0.36429794520547948</v>
      </c>
      <c r="AJ32" s="284" t="e">
        <f t="shared" si="17"/>
        <v>#DIV/0!</v>
      </c>
      <c r="AK32" s="284" t="e">
        <f t="shared" si="18"/>
        <v>#DIV/0!</v>
      </c>
      <c r="AL32" s="272">
        <f t="shared" si="19"/>
        <v>18.742465753424657</v>
      </c>
      <c r="AM32" s="272">
        <f t="shared" si="20"/>
        <v>0</v>
      </c>
      <c r="AN32" s="272">
        <f t="shared" si="21"/>
        <v>0</v>
      </c>
      <c r="AO32">
        <v>1</v>
      </c>
      <c r="AP32">
        <v>2</v>
      </c>
      <c r="AQ32" t="s">
        <v>58</v>
      </c>
      <c r="AR32">
        <v>2271</v>
      </c>
      <c r="AS32">
        <v>23472</v>
      </c>
      <c r="AT32" t="s">
        <v>58</v>
      </c>
      <c r="AU32">
        <v>23</v>
      </c>
      <c r="AV32">
        <v>14</v>
      </c>
      <c r="AW32" t="s">
        <v>58</v>
      </c>
      <c r="AX32">
        <v>38</v>
      </c>
    </row>
    <row r="33" spans="1:50" x14ac:dyDescent="0.25">
      <c r="A33" s="273">
        <v>340780477</v>
      </c>
      <c r="B33" t="str">
        <f>VLOOKUP(infpen!A33,scansanté2024!$B$12:$L$69,2)</f>
        <v>CHU MONTPELLIER</v>
      </c>
      <c r="C33" t="s">
        <v>60</v>
      </c>
      <c r="D33" s="74" t="str">
        <f>VLOOKUP(A33,dotpop24!$B$8:$U$67,3)</f>
        <v>EPS</v>
      </c>
      <c r="E33">
        <v>0</v>
      </c>
      <c r="F33">
        <v>0</v>
      </c>
      <c r="G33">
        <v>0</v>
      </c>
      <c r="H33">
        <v>0</v>
      </c>
      <c r="I33">
        <v>0</v>
      </c>
      <c r="J33">
        <v>0</v>
      </c>
      <c r="K33">
        <v>0</v>
      </c>
      <c r="L33">
        <v>0</v>
      </c>
      <c r="M33">
        <v>0</v>
      </c>
      <c r="N33">
        <v>0</v>
      </c>
      <c r="O33">
        <v>0</v>
      </c>
      <c r="P33">
        <v>0</v>
      </c>
      <c r="Q33" s="105" t="e">
        <f t="shared" si="4"/>
        <v>#DIV/0!</v>
      </c>
      <c r="R33" s="105" t="e">
        <f t="shared" si="5"/>
        <v>#DIV/0!</v>
      </c>
      <c r="S33" s="105" t="e">
        <f t="shared" si="6"/>
        <v>#DIV/0!</v>
      </c>
      <c r="T33" s="105" t="e">
        <f t="shared" si="7"/>
        <v>#DIV/0!</v>
      </c>
      <c r="U33" s="105" t="e">
        <f t="shared" si="8"/>
        <v>#DIV/0!</v>
      </c>
      <c r="V33" s="105" t="e">
        <f t="shared" si="9"/>
        <v>#DIV/0!</v>
      </c>
      <c r="W33" s="288">
        <f t="shared" si="10"/>
        <v>0</v>
      </c>
      <c r="X33" s="288">
        <f t="shared" si="11"/>
        <v>0</v>
      </c>
      <c r="Y33" s="288">
        <f t="shared" si="12"/>
        <v>0</v>
      </c>
      <c r="Z33" s="288">
        <f t="shared" si="13"/>
        <v>0</v>
      </c>
      <c r="AA33" s="288">
        <f t="shared" si="14"/>
        <v>0</v>
      </c>
      <c r="AB33" s="288">
        <f t="shared" si="15"/>
        <v>0</v>
      </c>
      <c r="AC33">
        <v>0</v>
      </c>
      <c r="AD33">
        <v>0</v>
      </c>
      <c r="AE33">
        <v>0</v>
      </c>
      <c r="AF33">
        <v>0</v>
      </c>
      <c r="AG33">
        <v>0</v>
      </c>
      <c r="AH33">
        <v>0</v>
      </c>
      <c r="AI33" s="284" t="e">
        <f t="shared" si="16"/>
        <v>#DIV/0!</v>
      </c>
      <c r="AJ33" s="284" t="e">
        <f t="shared" si="17"/>
        <v>#DIV/0!</v>
      </c>
      <c r="AK33" s="284" t="e">
        <f t="shared" si="18"/>
        <v>#DIV/0!</v>
      </c>
      <c r="AL33" s="272">
        <f t="shared" si="19"/>
        <v>0</v>
      </c>
      <c r="AM33" s="272">
        <f t="shared" si="20"/>
        <v>0</v>
      </c>
      <c r="AN33" s="272">
        <f t="shared" si="21"/>
        <v>0</v>
      </c>
      <c r="AO33" t="s">
        <v>58</v>
      </c>
      <c r="AP33" t="s">
        <v>58</v>
      </c>
      <c r="AQ33" t="s">
        <v>58</v>
      </c>
      <c r="AR33" t="s">
        <v>58</v>
      </c>
      <c r="AS33" t="s">
        <v>58</v>
      </c>
      <c r="AT33" t="s">
        <v>58</v>
      </c>
      <c r="AU33">
        <v>13567</v>
      </c>
      <c r="AV33" t="s">
        <v>58</v>
      </c>
      <c r="AW33" t="s">
        <v>58</v>
      </c>
      <c r="AX33" t="s">
        <v>58</v>
      </c>
    </row>
    <row r="34" spans="1:50" x14ac:dyDescent="0.25">
      <c r="A34" s="76">
        <v>340780766</v>
      </c>
      <c r="B34" t="str">
        <f>VLOOKUP(infpen!A34,scansanté2024!$B$12:$L$69,2)</f>
        <v>CLINIQUE LA LIRONDE</v>
      </c>
      <c r="C34" t="s">
        <v>59</v>
      </c>
      <c r="D34" s="74" t="str">
        <f>VLOOKUP(A34,dotpop24!$B$8:$U$67,3)</f>
        <v>EBL</v>
      </c>
      <c r="E34">
        <v>14</v>
      </c>
      <c r="F34">
        <v>0</v>
      </c>
      <c r="G34">
        <v>0</v>
      </c>
      <c r="H34">
        <v>0</v>
      </c>
      <c r="I34">
        <v>0</v>
      </c>
      <c r="J34">
        <v>0</v>
      </c>
      <c r="K34">
        <v>3751</v>
      </c>
      <c r="L34">
        <v>0</v>
      </c>
      <c r="M34">
        <v>0</v>
      </c>
      <c r="N34">
        <v>0</v>
      </c>
      <c r="O34">
        <v>0</v>
      </c>
      <c r="P34">
        <v>0</v>
      </c>
      <c r="Q34" s="105">
        <f t="shared" si="4"/>
        <v>0.73405088062622315</v>
      </c>
      <c r="R34" s="105" t="e">
        <f t="shared" si="5"/>
        <v>#DIV/0!</v>
      </c>
      <c r="S34" s="105" t="e">
        <f t="shared" si="6"/>
        <v>#DIV/0!</v>
      </c>
      <c r="T34" s="105" t="e">
        <f t="shared" si="7"/>
        <v>#DIV/0!</v>
      </c>
      <c r="U34" s="105" t="e">
        <f t="shared" si="8"/>
        <v>#DIV/0!</v>
      </c>
      <c r="V34" s="105" t="e">
        <f t="shared" si="9"/>
        <v>#DIV/0!</v>
      </c>
      <c r="W34" s="288">
        <f t="shared" si="10"/>
        <v>2.3232876712328756</v>
      </c>
      <c r="X34" s="288">
        <f t="shared" si="11"/>
        <v>0</v>
      </c>
      <c r="Y34" s="288">
        <f t="shared" si="12"/>
        <v>0</v>
      </c>
      <c r="Z34" s="288">
        <f t="shared" si="13"/>
        <v>0</v>
      </c>
      <c r="AA34" s="288">
        <f t="shared" si="14"/>
        <v>0</v>
      </c>
      <c r="AB34" s="288">
        <f t="shared" si="15"/>
        <v>0</v>
      </c>
      <c r="AC34">
        <v>0</v>
      </c>
      <c r="AD34">
        <v>0</v>
      </c>
      <c r="AE34">
        <v>0</v>
      </c>
      <c r="AF34">
        <v>0</v>
      </c>
      <c r="AG34">
        <v>0</v>
      </c>
      <c r="AH34">
        <v>0</v>
      </c>
      <c r="AI34" s="284" t="e">
        <f t="shared" si="16"/>
        <v>#DIV/0!</v>
      </c>
      <c r="AJ34" s="284" t="e">
        <f t="shared" si="17"/>
        <v>#DIV/0!</v>
      </c>
      <c r="AK34" s="284" t="e">
        <f t="shared" si="18"/>
        <v>#DIV/0!</v>
      </c>
      <c r="AL34" s="272">
        <f t="shared" si="19"/>
        <v>0</v>
      </c>
      <c r="AM34" s="272">
        <f t="shared" si="20"/>
        <v>0</v>
      </c>
      <c r="AN34" s="272">
        <f t="shared" si="21"/>
        <v>0</v>
      </c>
      <c r="AO34" t="s">
        <v>58</v>
      </c>
      <c r="AP34" t="s">
        <v>58</v>
      </c>
      <c r="AQ34" t="s">
        <v>58</v>
      </c>
      <c r="AR34" t="s">
        <v>58</v>
      </c>
      <c r="AS34" t="s">
        <v>58</v>
      </c>
      <c r="AT34" t="s">
        <v>58</v>
      </c>
      <c r="AU34" t="s">
        <v>58</v>
      </c>
      <c r="AV34" t="s">
        <v>58</v>
      </c>
      <c r="AW34" t="s">
        <v>58</v>
      </c>
      <c r="AX34" t="s">
        <v>58</v>
      </c>
    </row>
    <row r="35" spans="1:50" x14ac:dyDescent="0.25">
      <c r="A35" s="273">
        <v>340780782</v>
      </c>
      <c r="B35" t="str">
        <f>VLOOKUP(infpen!A35,scansanté2024!$B$12:$L$69,2)</f>
        <v>CLINIQUE STELLA</v>
      </c>
      <c r="C35" t="s">
        <v>59</v>
      </c>
      <c r="D35" s="74" t="str">
        <f>VLOOKUP(A35,dotpop24!$B$8:$U$67,3)</f>
        <v>EBL</v>
      </c>
      <c r="E35">
        <v>4</v>
      </c>
      <c r="F35">
        <v>0</v>
      </c>
      <c r="G35">
        <v>0</v>
      </c>
      <c r="H35">
        <v>0</v>
      </c>
      <c r="I35">
        <v>0</v>
      </c>
      <c r="J35">
        <v>0</v>
      </c>
      <c r="K35">
        <v>1612</v>
      </c>
      <c r="L35">
        <v>0</v>
      </c>
      <c r="M35">
        <v>0</v>
      </c>
      <c r="N35">
        <v>0</v>
      </c>
      <c r="O35">
        <v>0</v>
      </c>
      <c r="P35">
        <v>0</v>
      </c>
      <c r="Q35" s="105">
        <f t="shared" si="4"/>
        <v>1.1041095890410959</v>
      </c>
      <c r="R35" s="105" t="e">
        <f t="shared" si="5"/>
        <v>#DIV/0!</v>
      </c>
      <c r="S35" s="105" t="e">
        <f t="shared" si="6"/>
        <v>#DIV/0!</v>
      </c>
      <c r="T35" s="105" t="e">
        <f t="shared" si="7"/>
        <v>#DIV/0!</v>
      </c>
      <c r="U35" s="105" t="e">
        <f t="shared" si="8"/>
        <v>#DIV/0!</v>
      </c>
      <c r="V35" s="105" t="e">
        <f t="shared" si="9"/>
        <v>#DIV/0!</v>
      </c>
      <c r="W35" s="288">
        <f t="shared" si="10"/>
        <v>0</v>
      </c>
      <c r="X35" s="288">
        <f t="shared" si="11"/>
        <v>0</v>
      </c>
      <c r="Y35" s="288">
        <f t="shared" si="12"/>
        <v>0</v>
      </c>
      <c r="Z35" s="288">
        <f t="shared" si="13"/>
        <v>0</v>
      </c>
      <c r="AA35" s="288">
        <f t="shared" si="14"/>
        <v>0</v>
      </c>
      <c r="AB35" s="288">
        <f t="shared" si="15"/>
        <v>0</v>
      </c>
      <c r="AC35">
        <v>0</v>
      </c>
      <c r="AD35">
        <v>0</v>
      </c>
      <c r="AE35">
        <v>0</v>
      </c>
      <c r="AF35">
        <v>0</v>
      </c>
      <c r="AG35">
        <v>0</v>
      </c>
      <c r="AH35">
        <v>0</v>
      </c>
      <c r="AI35" s="284" t="e">
        <f t="shared" si="16"/>
        <v>#DIV/0!</v>
      </c>
      <c r="AJ35" s="284" t="e">
        <f t="shared" si="17"/>
        <v>#DIV/0!</v>
      </c>
      <c r="AK35" s="284" t="e">
        <f t="shared" si="18"/>
        <v>#DIV/0!</v>
      </c>
      <c r="AL35" s="272">
        <f t="shared" si="19"/>
        <v>0</v>
      </c>
      <c r="AM35" s="272">
        <f t="shared" si="20"/>
        <v>0</v>
      </c>
      <c r="AN35" s="272">
        <f t="shared" si="21"/>
        <v>0</v>
      </c>
      <c r="AO35" t="s">
        <v>58</v>
      </c>
      <c r="AP35" t="s">
        <v>58</v>
      </c>
      <c r="AQ35" t="s">
        <v>58</v>
      </c>
      <c r="AR35" t="s">
        <v>58</v>
      </c>
      <c r="AS35" t="s">
        <v>58</v>
      </c>
      <c r="AT35" t="s">
        <v>58</v>
      </c>
      <c r="AU35" t="s">
        <v>58</v>
      </c>
      <c r="AV35" t="s">
        <v>58</v>
      </c>
      <c r="AW35" t="s">
        <v>58</v>
      </c>
      <c r="AX35" t="s">
        <v>58</v>
      </c>
    </row>
    <row r="36" spans="1:50" x14ac:dyDescent="0.25">
      <c r="A36" s="273">
        <v>340780477</v>
      </c>
      <c r="B36" t="str">
        <f>VLOOKUP(infpen!A36,scansanté2024!$B$12:$L$69,2)</f>
        <v>CHU MONTPELLIER</v>
      </c>
      <c r="C36" t="s">
        <v>59</v>
      </c>
      <c r="D36" s="74" t="str">
        <f>VLOOKUP(A36,dotpop24!$B$8:$U$67,3)</f>
        <v>EPS</v>
      </c>
      <c r="E36">
        <v>10</v>
      </c>
      <c r="F36">
        <v>1</v>
      </c>
      <c r="G36">
        <v>0</v>
      </c>
      <c r="H36">
        <v>0</v>
      </c>
      <c r="I36">
        <v>0</v>
      </c>
      <c r="J36">
        <v>0</v>
      </c>
      <c r="K36">
        <v>2740</v>
      </c>
      <c r="L36">
        <v>58</v>
      </c>
      <c r="M36">
        <v>0</v>
      </c>
      <c r="N36">
        <v>0</v>
      </c>
      <c r="O36">
        <v>0</v>
      </c>
      <c r="P36">
        <v>0</v>
      </c>
      <c r="Q36" s="105">
        <f t="shared" si="4"/>
        <v>0.75068493150684934</v>
      </c>
      <c r="R36" s="105">
        <f t="shared" si="5"/>
        <v>0.15890410958904111</v>
      </c>
      <c r="S36" s="105" t="e">
        <f t="shared" si="6"/>
        <v>#DIV/0!</v>
      </c>
      <c r="T36" s="105" t="e">
        <f t="shared" si="7"/>
        <v>#DIV/0!</v>
      </c>
      <c r="U36" s="105" t="e">
        <f t="shared" si="8"/>
        <v>#DIV/0!</v>
      </c>
      <c r="V36" s="105" t="e">
        <f t="shared" si="9"/>
        <v>#DIV/0!</v>
      </c>
      <c r="W36" s="288">
        <f t="shared" si="10"/>
        <v>1.4931506849315068</v>
      </c>
      <c r="X36" s="288">
        <f t="shared" si="11"/>
        <v>0.74109589041095891</v>
      </c>
      <c r="Y36" s="288">
        <f t="shared" si="12"/>
        <v>0</v>
      </c>
      <c r="Z36" s="288">
        <f t="shared" si="13"/>
        <v>0</v>
      </c>
      <c r="AA36" s="288">
        <f t="shared" si="14"/>
        <v>0</v>
      </c>
      <c r="AB36" s="288">
        <f t="shared" si="15"/>
        <v>0</v>
      </c>
      <c r="AC36">
        <v>43</v>
      </c>
      <c r="AD36">
        <v>0</v>
      </c>
      <c r="AE36">
        <v>0</v>
      </c>
      <c r="AF36">
        <v>6489</v>
      </c>
      <c r="AG36">
        <v>0</v>
      </c>
      <c r="AH36">
        <v>0</v>
      </c>
      <c r="AI36" s="284">
        <f t="shared" si="16"/>
        <v>0.41344377190187959</v>
      </c>
      <c r="AJ36" s="284" t="e">
        <f t="shared" si="17"/>
        <v>#DIV/0!</v>
      </c>
      <c r="AK36" s="284" t="e">
        <f t="shared" si="18"/>
        <v>#DIV/0!</v>
      </c>
      <c r="AL36" s="272">
        <f t="shared" si="19"/>
        <v>23.07191780821918</v>
      </c>
      <c r="AM36" s="272">
        <f t="shared" si="20"/>
        <v>0</v>
      </c>
      <c r="AN36" s="272">
        <f t="shared" si="21"/>
        <v>0</v>
      </c>
      <c r="AO36">
        <v>1</v>
      </c>
      <c r="AP36">
        <v>2</v>
      </c>
      <c r="AQ36" t="s">
        <v>58</v>
      </c>
      <c r="AR36">
        <v>2332</v>
      </c>
      <c r="AS36">
        <v>3051</v>
      </c>
      <c r="AT36" t="s">
        <v>58</v>
      </c>
      <c r="AU36">
        <v>162</v>
      </c>
      <c r="AV36">
        <v>10</v>
      </c>
      <c r="AW36">
        <v>324</v>
      </c>
      <c r="AX36">
        <v>23</v>
      </c>
    </row>
    <row r="37" spans="1:50" x14ac:dyDescent="0.25">
      <c r="A37" s="281">
        <v>340011295</v>
      </c>
      <c r="B37" t="str">
        <f>VLOOKUP(infpen!A37,scansanté2024!$B$12:$L$69,2)</f>
        <v>LES HÔPITAUX DU BASSIN DE THAU</v>
      </c>
      <c r="C37" s="108" t="s">
        <v>59</v>
      </c>
      <c r="D37" s="74" t="str">
        <f>VLOOKUP(A37,dotpop24!$B$8:$U$67,3)</f>
        <v>EPS</v>
      </c>
      <c r="E37" s="108">
        <v>1</v>
      </c>
      <c r="F37" s="108">
        <v>0</v>
      </c>
      <c r="G37" s="108">
        <v>0</v>
      </c>
      <c r="H37" s="108">
        <v>0</v>
      </c>
      <c r="I37" s="108">
        <v>0</v>
      </c>
      <c r="J37" s="108">
        <v>0</v>
      </c>
      <c r="K37" s="108">
        <v>36</v>
      </c>
      <c r="L37" s="108">
        <v>0</v>
      </c>
      <c r="M37" s="108">
        <v>0</v>
      </c>
      <c r="N37" s="108">
        <v>0</v>
      </c>
      <c r="O37" s="108">
        <v>0</v>
      </c>
      <c r="P37" s="108">
        <v>0</v>
      </c>
      <c r="Q37" s="105">
        <f t="shared" si="4"/>
        <v>9.8630136986301367E-2</v>
      </c>
      <c r="R37" s="105" t="e">
        <f t="shared" si="5"/>
        <v>#DIV/0!</v>
      </c>
      <c r="S37" s="105" t="e">
        <f t="shared" si="6"/>
        <v>#DIV/0!</v>
      </c>
      <c r="T37" s="105" t="e">
        <f t="shared" si="7"/>
        <v>#DIV/0!</v>
      </c>
      <c r="U37" s="105" t="e">
        <f t="shared" si="8"/>
        <v>#DIV/0!</v>
      </c>
      <c r="V37" s="105" t="e">
        <f t="shared" si="9"/>
        <v>#DIV/0!</v>
      </c>
      <c r="W37" s="288">
        <f t="shared" si="10"/>
        <v>0.80136986301369861</v>
      </c>
      <c r="X37" s="288">
        <f t="shared" si="11"/>
        <v>0</v>
      </c>
      <c r="Y37" s="288">
        <f t="shared" si="12"/>
        <v>0</v>
      </c>
      <c r="Z37" s="288">
        <f t="shared" si="13"/>
        <v>0</v>
      </c>
      <c r="AA37" s="288">
        <f t="shared" si="14"/>
        <v>0</v>
      </c>
      <c r="AB37" s="288">
        <f t="shared" si="15"/>
        <v>0</v>
      </c>
      <c r="AC37" s="108">
        <v>16</v>
      </c>
      <c r="AD37" s="108">
        <v>0</v>
      </c>
      <c r="AE37" s="108">
        <v>1</v>
      </c>
      <c r="AF37" s="108">
        <v>1641</v>
      </c>
      <c r="AG37" s="108">
        <v>0</v>
      </c>
      <c r="AH37" s="108">
        <v>1780</v>
      </c>
      <c r="AI37" s="284">
        <f t="shared" si="16"/>
        <v>0.28099315068493153</v>
      </c>
      <c r="AJ37" s="284" t="e">
        <f t="shared" si="17"/>
        <v>#DIV/0!</v>
      </c>
      <c r="AK37" s="284">
        <f t="shared" si="18"/>
        <v>4.8767123287671232</v>
      </c>
      <c r="AL37" s="272">
        <f t="shared" si="19"/>
        <v>10.704109589041096</v>
      </c>
      <c r="AM37" s="272">
        <f t="shared" si="20"/>
        <v>0</v>
      </c>
      <c r="AN37" s="272">
        <f t="shared" si="21"/>
        <v>0</v>
      </c>
      <c r="AO37" s="108">
        <v>3</v>
      </c>
      <c r="AP37" s="108">
        <v>2</v>
      </c>
      <c r="AQ37" s="108">
        <v>1</v>
      </c>
      <c r="AR37" s="108">
        <v>8840</v>
      </c>
      <c r="AS37" s="108">
        <v>323</v>
      </c>
      <c r="AT37" s="108">
        <v>25</v>
      </c>
      <c r="AU37" s="108">
        <v>45</v>
      </c>
      <c r="AV37" s="108">
        <v>348</v>
      </c>
      <c r="AW37" s="108">
        <v>649</v>
      </c>
      <c r="AX37" s="108">
        <v>976</v>
      </c>
    </row>
    <row r="38" spans="1:50" x14ac:dyDescent="0.25">
      <c r="A38" s="275">
        <v>460780554</v>
      </c>
      <c r="B38" t="str">
        <f>VLOOKUP(infpen!A38,scansanté2024!$B$12:$L$69,2)</f>
        <v>CHS DE LEYME</v>
      </c>
      <c r="C38" t="s">
        <v>59</v>
      </c>
      <c r="D38" s="74" t="str">
        <f>VLOOKUP(A38,dotpop24!$B$8:$U$67,3)</f>
        <v>EBNL</v>
      </c>
      <c r="E38">
        <v>17</v>
      </c>
      <c r="F38">
        <v>0</v>
      </c>
      <c r="G38">
        <v>0</v>
      </c>
      <c r="H38">
        <v>0</v>
      </c>
      <c r="I38">
        <v>0</v>
      </c>
      <c r="J38">
        <v>0</v>
      </c>
      <c r="K38">
        <v>3726</v>
      </c>
      <c r="L38">
        <v>0</v>
      </c>
      <c r="M38">
        <v>0</v>
      </c>
      <c r="N38">
        <v>0</v>
      </c>
      <c r="O38">
        <v>0</v>
      </c>
      <c r="P38">
        <v>0</v>
      </c>
      <c r="Q38" s="105">
        <f t="shared" si="4"/>
        <v>0.60048348106365834</v>
      </c>
      <c r="R38" s="105" t="e">
        <f t="shared" si="5"/>
        <v>#DIV/0!</v>
      </c>
      <c r="S38" s="105" t="e">
        <f t="shared" si="6"/>
        <v>#DIV/0!</v>
      </c>
      <c r="T38" s="105" t="e">
        <f t="shared" si="7"/>
        <v>#DIV/0!</v>
      </c>
      <c r="U38" s="105" t="e">
        <f t="shared" si="8"/>
        <v>#DIV/0!</v>
      </c>
      <c r="V38" s="105" t="e">
        <f t="shared" si="9"/>
        <v>#DIV/0!</v>
      </c>
      <c r="W38" s="288">
        <f t="shared" si="10"/>
        <v>5.0917808219178085</v>
      </c>
      <c r="X38" s="288">
        <f t="shared" si="11"/>
        <v>0</v>
      </c>
      <c r="Y38" s="288">
        <f t="shared" si="12"/>
        <v>0</v>
      </c>
      <c r="Z38" s="288">
        <f t="shared" si="13"/>
        <v>0</v>
      </c>
      <c r="AA38" s="288">
        <f t="shared" si="14"/>
        <v>0</v>
      </c>
      <c r="AB38" s="288">
        <f t="shared" si="15"/>
        <v>0</v>
      </c>
      <c r="AC38">
        <v>25</v>
      </c>
      <c r="AD38">
        <v>2</v>
      </c>
      <c r="AE38">
        <v>0</v>
      </c>
      <c r="AF38">
        <v>2303</v>
      </c>
      <c r="AG38">
        <v>3</v>
      </c>
      <c r="AH38">
        <v>0</v>
      </c>
      <c r="AI38" s="284">
        <f t="shared" si="16"/>
        <v>0.25238356164383563</v>
      </c>
      <c r="AJ38" s="284">
        <f t="shared" si="17"/>
        <v>4.10958904109589E-3</v>
      </c>
      <c r="AK38" s="284" t="e">
        <f t="shared" si="18"/>
        <v>#DIV/0!</v>
      </c>
      <c r="AL38" s="272">
        <f t="shared" si="19"/>
        <v>17.44041095890411</v>
      </c>
      <c r="AM38" s="272">
        <f t="shared" si="20"/>
        <v>1.8917808219178083</v>
      </c>
      <c r="AN38" s="272">
        <f t="shared" si="21"/>
        <v>0</v>
      </c>
      <c r="AO38">
        <v>6</v>
      </c>
      <c r="AP38">
        <v>1</v>
      </c>
      <c r="AQ38">
        <v>6</v>
      </c>
      <c r="AR38">
        <v>15928</v>
      </c>
      <c r="AS38">
        <v>180</v>
      </c>
      <c r="AT38">
        <v>1621</v>
      </c>
      <c r="AU38">
        <v>531</v>
      </c>
      <c r="AV38">
        <v>70</v>
      </c>
      <c r="AW38">
        <v>14</v>
      </c>
      <c r="AX38">
        <v>126</v>
      </c>
    </row>
    <row r="39" spans="1:50" x14ac:dyDescent="0.25">
      <c r="A39" s="76">
        <v>480780147</v>
      </c>
      <c r="B39" t="str">
        <f>VLOOKUP(infpen!A39,scansanté2024!$B$12:$L$69,2)</f>
        <v>CH F. TOSQUELLES DE ST ALBAN</v>
      </c>
      <c r="C39" t="s">
        <v>59</v>
      </c>
      <c r="D39" s="74" t="str">
        <f>VLOOKUP(A39,dotpop24!$B$8:$U$67,3)</f>
        <v>EPS</v>
      </c>
      <c r="E39">
        <v>6</v>
      </c>
      <c r="F39">
        <v>0</v>
      </c>
      <c r="G39">
        <v>0</v>
      </c>
      <c r="H39">
        <v>0</v>
      </c>
      <c r="I39">
        <v>0</v>
      </c>
      <c r="J39">
        <v>0</v>
      </c>
      <c r="K39">
        <v>596</v>
      </c>
      <c r="L39">
        <v>0</v>
      </c>
      <c r="M39">
        <v>0</v>
      </c>
      <c r="N39">
        <v>0</v>
      </c>
      <c r="O39">
        <v>0</v>
      </c>
      <c r="P39">
        <v>0</v>
      </c>
      <c r="Q39" s="105">
        <f t="shared" si="4"/>
        <v>0.27214611872146116</v>
      </c>
      <c r="R39" s="105" t="e">
        <f t="shared" si="5"/>
        <v>#DIV/0!</v>
      </c>
      <c r="S39" s="105" t="e">
        <f t="shared" si="6"/>
        <v>#DIV/0!</v>
      </c>
      <c r="T39" s="105" t="e">
        <f t="shared" si="7"/>
        <v>#DIV/0!</v>
      </c>
      <c r="U39" s="105" t="e">
        <f t="shared" si="8"/>
        <v>#DIV/0!</v>
      </c>
      <c r="V39" s="105" t="e">
        <f t="shared" si="9"/>
        <v>#DIV/0!</v>
      </c>
      <c r="W39" s="288">
        <f t="shared" si="10"/>
        <v>3.7671232876712328</v>
      </c>
      <c r="X39" s="288">
        <f t="shared" si="11"/>
        <v>0</v>
      </c>
      <c r="Y39" s="288">
        <f t="shared" si="12"/>
        <v>0</v>
      </c>
      <c r="Z39" s="288">
        <f t="shared" si="13"/>
        <v>0</v>
      </c>
      <c r="AA39" s="288">
        <f t="shared" si="14"/>
        <v>0</v>
      </c>
      <c r="AB39" s="288">
        <f t="shared" si="15"/>
        <v>0</v>
      </c>
      <c r="AC39">
        <v>24</v>
      </c>
      <c r="AD39">
        <v>0</v>
      </c>
      <c r="AE39">
        <v>0</v>
      </c>
      <c r="AF39">
        <v>1520</v>
      </c>
      <c r="AG39">
        <v>0</v>
      </c>
      <c r="AH39">
        <v>0</v>
      </c>
      <c r="AI39" s="284">
        <f t="shared" si="16"/>
        <v>0.17351598173515981</v>
      </c>
      <c r="AJ39" s="284" t="e">
        <f t="shared" si="17"/>
        <v>#DIV/0!</v>
      </c>
      <c r="AK39" s="284" t="e">
        <f t="shared" si="18"/>
        <v>#DIV/0!</v>
      </c>
      <c r="AL39" s="272">
        <f t="shared" si="19"/>
        <v>18.635616438356163</v>
      </c>
      <c r="AM39" s="272">
        <f t="shared" si="20"/>
        <v>0</v>
      </c>
      <c r="AN39" s="272">
        <f t="shared" si="21"/>
        <v>0</v>
      </c>
      <c r="AO39">
        <v>6</v>
      </c>
      <c r="AP39">
        <v>1</v>
      </c>
      <c r="AQ39">
        <v>0</v>
      </c>
      <c r="AR39">
        <v>16191</v>
      </c>
      <c r="AS39">
        <v>104</v>
      </c>
      <c r="AT39">
        <v>0</v>
      </c>
      <c r="AU39">
        <v>22</v>
      </c>
      <c r="AV39">
        <v>8</v>
      </c>
      <c r="AW39">
        <v>4</v>
      </c>
      <c r="AX39">
        <v>40</v>
      </c>
    </row>
    <row r="40" spans="1:50" x14ac:dyDescent="0.25">
      <c r="A40" s="76">
        <v>480780147</v>
      </c>
      <c r="B40" t="str">
        <f>VLOOKUP(infpen!A40,scansanté2024!$B$12:$L$69,2)</f>
        <v>CH F. TOSQUELLES DE ST ALBAN</v>
      </c>
      <c r="C40" t="s">
        <v>60</v>
      </c>
      <c r="D40" s="74" t="str">
        <f>VLOOKUP(A40,dotpop24!$B$8:$U$67,3)</f>
        <v>EPS</v>
      </c>
      <c r="E40">
        <v>0</v>
      </c>
      <c r="F40">
        <v>0</v>
      </c>
      <c r="G40">
        <v>0</v>
      </c>
      <c r="H40">
        <v>0</v>
      </c>
      <c r="I40">
        <v>0</v>
      </c>
      <c r="J40">
        <v>0</v>
      </c>
      <c r="K40">
        <v>0</v>
      </c>
      <c r="L40">
        <v>0</v>
      </c>
      <c r="M40">
        <v>0</v>
      </c>
      <c r="N40">
        <v>0</v>
      </c>
      <c r="O40">
        <v>0</v>
      </c>
      <c r="P40">
        <v>0</v>
      </c>
      <c r="Q40" s="105" t="e">
        <f t="shared" si="4"/>
        <v>#DIV/0!</v>
      </c>
      <c r="R40" s="105" t="e">
        <f t="shared" si="5"/>
        <v>#DIV/0!</v>
      </c>
      <c r="S40" s="105" t="e">
        <f t="shared" si="6"/>
        <v>#DIV/0!</v>
      </c>
      <c r="T40" s="105" t="e">
        <f t="shared" si="7"/>
        <v>#DIV/0!</v>
      </c>
      <c r="U40" s="105" t="e">
        <f t="shared" si="8"/>
        <v>#DIV/0!</v>
      </c>
      <c r="V40" s="105" t="e">
        <f t="shared" si="9"/>
        <v>#DIV/0!</v>
      </c>
      <c r="W40" s="288">
        <f t="shared" si="10"/>
        <v>0</v>
      </c>
      <c r="X40" s="288">
        <f t="shared" si="11"/>
        <v>0</v>
      </c>
      <c r="Y40" s="288">
        <f t="shared" si="12"/>
        <v>0</v>
      </c>
      <c r="Z40" s="288">
        <f t="shared" si="13"/>
        <v>0</v>
      </c>
      <c r="AA40" s="288">
        <f t="shared" si="14"/>
        <v>0</v>
      </c>
      <c r="AB40" s="288">
        <f t="shared" si="15"/>
        <v>0</v>
      </c>
      <c r="AC40">
        <v>0</v>
      </c>
      <c r="AD40">
        <v>0</v>
      </c>
      <c r="AE40">
        <v>0</v>
      </c>
      <c r="AF40">
        <v>0</v>
      </c>
      <c r="AG40">
        <v>0</v>
      </c>
      <c r="AH40">
        <v>0</v>
      </c>
      <c r="AI40" s="284" t="e">
        <f t="shared" si="16"/>
        <v>#DIV/0!</v>
      </c>
      <c r="AJ40" s="284" t="e">
        <f t="shared" si="17"/>
        <v>#DIV/0!</v>
      </c>
      <c r="AK40" s="284" t="e">
        <f t="shared" si="18"/>
        <v>#DIV/0!</v>
      </c>
      <c r="AL40" s="272">
        <f t="shared" si="19"/>
        <v>0</v>
      </c>
      <c r="AM40" s="272">
        <f t="shared" si="20"/>
        <v>0</v>
      </c>
      <c r="AN40" s="272">
        <f t="shared" si="21"/>
        <v>0</v>
      </c>
      <c r="AO40" t="s">
        <v>58</v>
      </c>
      <c r="AP40" t="s">
        <v>58</v>
      </c>
      <c r="AQ40" t="s">
        <v>58</v>
      </c>
      <c r="AR40" t="s">
        <v>58</v>
      </c>
      <c r="AS40" t="s">
        <v>58</v>
      </c>
      <c r="AT40" t="s">
        <v>58</v>
      </c>
      <c r="AU40">
        <v>744</v>
      </c>
      <c r="AV40" t="s">
        <v>58</v>
      </c>
      <c r="AW40" t="s">
        <v>58</v>
      </c>
      <c r="AX40" t="s">
        <v>58</v>
      </c>
    </row>
    <row r="41" spans="1:50" x14ac:dyDescent="0.25">
      <c r="A41" s="76">
        <v>650780174</v>
      </c>
      <c r="B41" t="str">
        <f>VLOOKUP(infpen!A41,scansanté2024!$B$12:$L$69,2)</f>
        <v>CH LANNEMEZAN</v>
      </c>
      <c r="C41" t="s">
        <v>59</v>
      </c>
      <c r="D41" s="74" t="str">
        <f>VLOOKUP(A41,dotpop24!$B$8:$U$67,3)</f>
        <v>EPS</v>
      </c>
      <c r="E41">
        <v>14</v>
      </c>
      <c r="F41">
        <v>7</v>
      </c>
      <c r="G41">
        <v>0</v>
      </c>
      <c r="H41">
        <v>0</v>
      </c>
      <c r="I41">
        <v>0</v>
      </c>
      <c r="J41">
        <v>0</v>
      </c>
      <c r="K41">
        <v>2865</v>
      </c>
      <c r="L41">
        <v>539</v>
      </c>
      <c r="M41">
        <v>0</v>
      </c>
      <c r="N41">
        <v>0</v>
      </c>
      <c r="O41">
        <v>0</v>
      </c>
      <c r="P41">
        <v>0</v>
      </c>
      <c r="Q41" s="105">
        <f t="shared" si="4"/>
        <v>0.5606653620352251</v>
      </c>
      <c r="R41" s="105">
        <f t="shared" si="5"/>
        <v>0.21095890410958903</v>
      </c>
      <c r="S41" s="105" t="e">
        <f t="shared" si="6"/>
        <v>#DIV/0!</v>
      </c>
      <c r="T41" s="105" t="e">
        <f t="shared" si="7"/>
        <v>#DIV/0!</v>
      </c>
      <c r="U41" s="105" t="e">
        <f t="shared" si="8"/>
        <v>#DIV/0!</v>
      </c>
      <c r="V41" s="105" t="e">
        <f t="shared" si="9"/>
        <v>#DIV/0!</v>
      </c>
      <c r="W41" s="288">
        <f t="shared" si="10"/>
        <v>4.7506849315068482</v>
      </c>
      <c r="X41" s="288">
        <f t="shared" si="11"/>
        <v>4.8232876712328769</v>
      </c>
      <c r="Y41" s="288">
        <f t="shared" si="12"/>
        <v>0</v>
      </c>
      <c r="Z41" s="288">
        <f t="shared" si="13"/>
        <v>0</v>
      </c>
      <c r="AA41" s="288">
        <f t="shared" si="14"/>
        <v>0</v>
      </c>
      <c r="AB41" s="288">
        <f t="shared" si="15"/>
        <v>0</v>
      </c>
      <c r="AC41">
        <v>69</v>
      </c>
      <c r="AD41">
        <v>0</v>
      </c>
      <c r="AE41">
        <v>0</v>
      </c>
      <c r="AF41">
        <v>6485</v>
      </c>
      <c r="AG41">
        <v>0</v>
      </c>
      <c r="AH41">
        <v>0</v>
      </c>
      <c r="AI41" s="284">
        <f t="shared" si="16"/>
        <v>0.25749454040103237</v>
      </c>
      <c r="AJ41" s="284" t="e">
        <f t="shared" si="17"/>
        <v>#DIV/0!</v>
      </c>
      <c r="AK41" s="284" t="e">
        <f t="shared" si="18"/>
        <v>#DIV/0!</v>
      </c>
      <c r="AL41" s="272">
        <f t="shared" si="19"/>
        <v>47.782876712328765</v>
      </c>
      <c r="AM41" s="272">
        <f t="shared" si="20"/>
        <v>0</v>
      </c>
      <c r="AN41" s="272">
        <f t="shared" si="21"/>
        <v>0</v>
      </c>
      <c r="AO41">
        <v>6</v>
      </c>
      <c r="AP41">
        <v>2</v>
      </c>
      <c r="AQ41">
        <v>6</v>
      </c>
      <c r="AR41">
        <v>15622</v>
      </c>
      <c r="AS41">
        <v>922</v>
      </c>
      <c r="AT41">
        <v>7733</v>
      </c>
      <c r="AU41">
        <v>747</v>
      </c>
      <c r="AV41">
        <v>119</v>
      </c>
      <c r="AW41">
        <v>583</v>
      </c>
      <c r="AX41">
        <v>85</v>
      </c>
    </row>
    <row r="42" spans="1:50" x14ac:dyDescent="0.25">
      <c r="A42" s="76">
        <v>650780174</v>
      </c>
      <c r="B42" t="str">
        <f>VLOOKUP(infpen!A42,scansanté2024!$B$12:$L$69,2)</f>
        <v>CH LANNEMEZAN</v>
      </c>
      <c r="C42" t="s">
        <v>60</v>
      </c>
      <c r="D42" s="74" t="str">
        <f>VLOOKUP(A42,dotpop24!$B$8:$U$67,3)</f>
        <v>EPS</v>
      </c>
      <c r="E42">
        <v>0</v>
      </c>
      <c r="F42">
        <v>0</v>
      </c>
      <c r="G42">
        <v>0</v>
      </c>
      <c r="H42">
        <v>0</v>
      </c>
      <c r="I42">
        <v>0</v>
      </c>
      <c r="J42">
        <v>0</v>
      </c>
      <c r="K42">
        <v>0</v>
      </c>
      <c r="L42">
        <v>0</v>
      </c>
      <c r="M42">
        <v>0</v>
      </c>
      <c r="N42">
        <v>0</v>
      </c>
      <c r="O42">
        <v>0</v>
      </c>
      <c r="P42">
        <v>0</v>
      </c>
      <c r="Q42" s="105" t="e">
        <f t="shared" si="4"/>
        <v>#DIV/0!</v>
      </c>
      <c r="R42" s="105" t="e">
        <f t="shared" si="5"/>
        <v>#DIV/0!</v>
      </c>
      <c r="S42" s="105" t="e">
        <f t="shared" si="6"/>
        <v>#DIV/0!</v>
      </c>
      <c r="T42" s="105" t="e">
        <f t="shared" si="7"/>
        <v>#DIV/0!</v>
      </c>
      <c r="U42" s="105" t="e">
        <f t="shared" si="8"/>
        <v>#DIV/0!</v>
      </c>
      <c r="V42" s="105" t="e">
        <f t="shared" si="9"/>
        <v>#DIV/0!</v>
      </c>
      <c r="W42" s="288">
        <f t="shared" si="10"/>
        <v>0</v>
      </c>
      <c r="X42" s="288">
        <f t="shared" si="11"/>
        <v>0</v>
      </c>
      <c r="Y42" s="288">
        <f t="shared" si="12"/>
        <v>0</v>
      </c>
      <c r="Z42" s="288">
        <f t="shared" si="13"/>
        <v>0</v>
      </c>
      <c r="AA42" s="288">
        <f t="shared" si="14"/>
        <v>0</v>
      </c>
      <c r="AB42" s="288">
        <f t="shared" si="15"/>
        <v>0</v>
      </c>
      <c r="AC42">
        <v>0</v>
      </c>
      <c r="AD42">
        <v>0</v>
      </c>
      <c r="AE42">
        <v>0</v>
      </c>
      <c r="AF42">
        <v>0</v>
      </c>
      <c r="AG42">
        <v>0</v>
      </c>
      <c r="AH42">
        <v>0</v>
      </c>
      <c r="AI42" s="284" t="e">
        <f t="shared" si="16"/>
        <v>#DIV/0!</v>
      </c>
      <c r="AJ42" s="284" t="e">
        <f t="shared" si="17"/>
        <v>#DIV/0!</v>
      </c>
      <c r="AK42" s="284" t="e">
        <f t="shared" si="18"/>
        <v>#DIV/0!</v>
      </c>
      <c r="AL42" s="272">
        <f t="shared" si="19"/>
        <v>0</v>
      </c>
      <c r="AM42" s="272">
        <f t="shared" si="20"/>
        <v>0</v>
      </c>
      <c r="AN42" s="272">
        <f t="shared" si="21"/>
        <v>0</v>
      </c>
      <c r="AO42" t="s">
        <v>58</v>
      </c>
      <c r="AP42" t="s">
        <v>58</v>
      </c>
      <c r="AQ42" t="s">
        <v>58</v>
      </c>
      <c r="AR42" t="s">
        <v>58</v>
      </c>
      <c r="AS42" t="s">
        <v>58</v>
      </c>
      <c r="AT42" t="s">
        <v>58</v>
      </c>
      <c r="AU42" t="s">
        <v>58</v>
      </c>
      <c r="AV42" t="s">
        <v>58</v>
      </c>
      <c r="AW42" t="s">
        <v>58</v>
      </c>
      <c r="AX42" t="s">
        <v>58</v>
      </c>
    </row>
    <row r="43" spans="1:50" x14ac:dyDescent="0.25">
      <c r="A43" s="76">
        <v>660780198</v>
      </c>
      <c r="B43" t="str">
        <f>VLOOKUP(infpen!A43,scansanté2024!$B$12:$L$69,2)</f>
        <v>CHS DE THUIR</v>
      </c>
      <c r="C43" t="s">
        <v>59</v>
      </c>
      <c r="D43" s="74" t="str">
        <f>VLOOKUP(A43,dotpop24!$B$8:$U$67,3)</f>
        <v>EPS</v>
      </c>
      <c r="E43">
        <v>8</v>
      </c>
      <c r="F43">
        <v>8</v>
      </c>
      <c r="G43">
        <v>0</v>
      </c>
      <c r="H43">
        <v>0</v>
      </c>
      <c r="I43">
        <v>2</v>
      </c>
      <c r="J43">
        <v>0</v>
      </c>
      <c r="K43">
        <v>2172</v>
      </c>
      <c r="L43">
        <v>0</v>
      </c>
      <c r="M43">
        <v>0</v>
      </c>
      <c r="N43">
        <v>0</v>
      </c>
      <c r="O43">
        <v>362</v>
      </c>
      <c r="P43">
        <v>0</v>
      </c>
      <c r="Q43" s="105">
        <f t="shared" si="4"/>
        <v>0.74383561643835616</v>
      </c>
      <c r="R43" s="105">
        <f t="shared" si="5"/>
        <v>0</v>
      </c>
      <c r="S43" s="105" t="e">
        <f t="shared" si="6"/>
        <v>#DIV/0!</v>
      </c>
      <c r="T43" s="105" t="e">
        <f t="shared" si="7"/>
        <v>#DIV/0!</v>
      </c>
      <c r="U43" s="105">
        <f t="shared" si="8"/>
        <v>0.49589041095890413</v>
      </c>
      <c r="V43" s="105" t="e">
        <f t="shared" si="9"/>
        <v>#DIV/0!</v>
      </c>
      <c r="W43" s="288">
        <f t="shared" si="10"/>
        <v>1.2493150684931507</v>
      </c>
      <c r="X43" s="288">
        <f t="shared" si="11"/>
        <v>7.2</v>
      </c>
      <c r="Y43" s="288">
        <f t="shared" si="12"/>
        <v>0</v>
      </c>
      <c r="Z43" s="288">
        <f t="shared" si="13"/>
        <v>0</v>
      </c>
      <c r="AA43" s="288">
        <f t="shared" si="14"/>
        <v>0.80821917808219179</v>
      </c>
      <c r="AB43" s="288">
        <f t="shared" si="15"/>
        <v>0</v>
      </c>
      <c r="AC43">
        <v>50</v>
      </c>
      <c r="AD43">
        <v>0</v>
      </c>
      <c r="AE43">
        <v>0</v>
      </c>
      <c r="AF43">
        <v>2269</v>
      </c>
      <c r="AG43">
        <v>0</v>
      </c>
      <c r="AH43">
        <v>0</v>
      </c>
      <c r="AI43" s="284">
        <f t="shared" si="16"/>
        <v>0.12432876712328766</v>
      </c>
      <c r="AJ43" s="284" t="e">
        <f t="shared" si="17"/>
        <v>#DIV/0!</v>
      </c>
      <c r="AK43" s="284" t="e">
        <f t="shared" si="18"/>
        <v>#DIV/0!</v>
      </c>
      <c r="AL43" s="272">
        <f t="shared" si="19"/>
        <v>41.283561643835618</v>
      </c>
      <c r="AM43" s="272">
        <f t="shared" si="20"/>
        <v>0</v>
      </c>
      <c r="AN43" s="272">
        <f t="shared" si="21"/>
        <v>0</v>
      </c>
      <c r="AO43">
        <v>8</v>
      </c>
      <c r="AP43">
        <v>5</v>
      </c>
      <c r="AQ43">
        <v>8</v>
      </c>
      <c r="AR43">
        <v>27866</v>
      </c>
      <c r="AS43">
        <v>810</v>
      </c>
      <c r="AT43">
        <v>767</v>
      </c>
      <c r="AU43">
        <v>1036</v>
      </c>
      <c r="AV43">
        <v>32</v>
      </c>
      <c r="AW43">
        <v>453</v>
      </c>
      <c r="AX43">
        <v>304</v>
      </c>
    </row>
    <row r="44" spans="1:50" x14ac:dyDescent="0.25">
      <c r="A44" s="76">
        <v>660780198</v>
      </c>
      <c r="B44" t="str">
        <f>VLOOKUP(infpen!A44,scansanté2024!$B$12:$L$69,2)</f>
        <v>CHS DE THUIR</v>
      </c>
      <c r="C44" t="s">
        <v>60</v>
      </c>
      <c r="D44" s="74" t="str">
        <f>VLOOKUP(A44,dotpop24!$B$8:$U$67,3)</f>
        <v>EPS</v>
      </c>
      <c r="E44">
        <v>0</v>
      </c>
      <c r="F44">
        <v>0</v>
      </c>
      <c r="G44">
        <v>0</v>
      </c>
      <c r="H44">
        <v>0</v>
      </c>
      <c r="I44">
        <v>0</v>
      </c>
      <c r="J44">
        <v>0</v>
      </c>
      <c r="K44">
        <v>0</v>
      </c>
      <c r="L44">
        <v>0</v>
      </c>
      <c r="M44">
        <v>0</v>
      </c>
      <c r="N44">
        <v>0</v>
      </c>
      <c r="O44">
        <v>0</v>
      </c>
      <c r="P44">
        <v>0</v>
      </c>
      <c r="Q44" s="105" t="e">
        <f t="shared" si="4"/>
        <v>#DIV/0!</v>
      </c>
      <c r="R44" s="105" t="e">
        <f t="shared" si="5"/>
        <v>#DIV/0!</v>
      </c>
      <c r="S44" s="105" t="e">
        <f t="shared" si="6"/>
        <v>#DIV/0!</v>
      </c>
      <c r="T44" s="105" t="e">
        <f t="shared" si="7"/>
        <v>#DIV/0!</v>
      </c>
      <c r="U44" s="105" t="e">
        <f t="shared" si="8"/>
        <v>#DIV/0!</v>
      </c>
      <c r="V44" s="105" t="e">
        <f t="shared" si="9"/>
        <v>#DIV/0!</v>
      </c>
      <c r="W44" s="288">
        <f t="shared" si="10"/>
        <v>0</v>
      </c>
      <c r="X44" s="288">
        <f t="shared" si="11"/>
        <v>0</v>
      </c>
      <c r="Y44" s="288">
        <f t="shared" si="12"/>
        <v>0</v>
      </c>
      <c r="Z44" s="288">
        <f t="shared" si="13"/>
        <v>0</v>
      </c>
      <c r="AA44" s="288">
        <f t="shared" si="14"/>
        <v>0</v>
      </c>
      <c r="AB44" s="288">
        <f t="shared" si="15"/>
        <v>0</v>
      </c>
      <c r="AC44">
        <v>13</v>
      </c>
      <c r="AD44">
        <v>0</v>
      </c>
      <c r="AE44">
        <v>0</v>
      </c>
      <c r="AF44">
        <v>3396</v>
      </c>
      <c r="AG44">
        <v>0</v>
      </c>
      <c r="AH44">
        <v>0</v>
      </c>
      <c r="AI44" s="284">
        <f t="shared" si="16"/>
        <v>0.7157007376185458</v>
      </c>
      <c r="AJ44" s="284" t="e">
        <f t="shared" si="17"/>
        <v>#DIV/0!</v>
      </c>
      <c r="AK44" s="284" t="e">
        <f t="shared" si="18"/>
        <v>#DIV/0!</v>
      </c>
      <c r="AL44" s="272">
        <f t="shared" si="19"/>
        <v>3.0458904109589042</v>
      </c>
      <c r="AM44" s="272">
        <f t="shared" si="20"/>
        <v>0</v>
      </c>
      <c r="AN44" s="272">
        <f t="shared" si="21"/>
        <v>0</v>
      </c>
      <c r="AO44" t="s">
        <v>58</v>
      </c>
      <c r="AP44" t="s">
        <v>58</v>
      </c>
      <c r="AQ44" t="s">
        <v>58</v>
      </c>
      <c r="AR44" t="s">
        <v>58</v>
      </c>
      <c r="AS44" t="s">
        <v>58</v>
      </c>
      <c r="AT44" t="s">
        <v>58</v>
      </c>
      <c r="AU44">
        <v>23004</v>
      </c>
      <c r="AV44" t="s">
        <v>58</v>
      </c>
      <c r="AW44" t="s">
        <v>58</v>
      </c>
      <c r="AX44" t="s">
        <v>58</v>
      </c>
    </row>
    <row r="45" spans="1:50" x14ac:dyDescent="0.25">
      <c r="A45" s="275">
        <v>660780735</v>
      </c>
      <c r="B45" t="str">
        <f>VLOOKUP(infpen!A45,scansanté2024!$B$12:$L$69,2)</f>
        <v>CLINIQUE DU ROUSSILLON</v>
      </c>
      <c r="C45" t="s">
        <v>59</v>
      </c>
      <c r="D45" s="74" t="str">
        <f>VLOOKUP(A45,dotpop24!$B$8:$U$67,3)</f>
        <v>EBL</v>
      </c>
      <c r="E45">
        <v>0</v>
      </c>
      <c r="F45">
        <v>0</v>
      </c>
      <c r="G45">
        <v>0</v>
      </c>
      <c r="H45">
        <v>0</v>
      </c>
      <c r="I45">
        <v>0</v>
      </c>
      <c r="J45">
        <v>0</v>
      </c>
      <c r="K45">
        <v>0</v>
      </c>
      <c r="L45">
        <v>0</v>
      </c>
      <c r="M45">
        <v>0</v>
      </c>
      <c r="N45">
        <v>0</v>
      </c>
      <c r="O45">
        <v>0</v>
      </c>
      <c r="P45">
        <v>0</v>
      </c>
      <c r="Q45" s="105" t="e">
        <f t="shared" si="4"/>
        <v>#DIV/0!</v>
      </c>
      <c r="R45" s="105" t="e">
        <f t="shared" si="5"/>
        <v>#DIV/0!</v>
      </c>
      <c r="S45" s="105" t="e">
        <f t="shared" si="6"/>
        <v>#DIV/0!</v>
      </c>
      <c r="T45" s="105" t="e">
        <f t="shared" si="7"/>
        <v>#DIV/0!</v>
      </c>
      <c r="U45" s="105" t="e">
        <f t="shared" si="8"/>
        <v>#DIV/0!</v>
      </c>
      <c r="V45" s="105" t="e">
        <f t="shared" si="9"/>
        <v>#DIV/0!</v>
      </c>
      <c r="W45" s="288">
        <f t="shared" si="10"/>
        <v>0</v>
      </c>
      <c r="X45" s="288">
        <f t="shared" si="11"/>
        <v>0</v>
      </c>
      <c r="Y45" s="288">
        <f t="shared" si="12"/>
        <v>0</v>
      </c>
      <c r="Z45" s="288">
        <f t="shared" si="13"/>
        <v>0</v>
      </c>
      <c r="AA45" s="288">
        <f t="shared" si="14"/>
        <v>0</v>
      </c>
      <c r="AB45" s="288">
        <f t="shared" si="15"/>
        <v>0</v>
      </c>
      <c r="AC45">
        <v>15</v>
      </c>
      <c r="AD45">
        <v>0</v>
      </c>
      <c r="AE45">
        <v>0</v>
      </c>
      <c r="AF45">
        <v>1909</v>
      </c>
      <c r="AG45">
        <v>0</v>
      </c>
      <c r="AH45">
        <v>0</v>
      </c>
      <c r="AI45" s="284">
        <f t="shared" si="16"/>
        <v>0.348675799086758</v>
      </c>
      <c r="AJ45" s="284" t="e">
        <f t="shared" si="17"/>
        <v>#DIV/0!</v>
      </c>
      <c r="AK45" s="284" t="e">
        <f t="shared" si="18"/>
        <v>#DIV/0!</v>
      </c>
      <c r="AL45" s="272">
        <f t="shared" si="19"/>
        <v>9.0198630136986306</v>
      </c>
      <c r="AM45" s="272">
        <f t="shared" si="20"/>
        <v>0</v>
      </c>
      <c r="AN45" s="272">
        <f t="shared" si="21"/>
        <v>0</v>
      </c>
      <c r="AO45" t="s">
        <v>58</v>
      </c>
      <c r="AP45" t="s">
        <v>58</v>
      </c>
      <c r="AQ45" t="s">
        <v>58</v>
      </c>
      <c r="AR45" t="s">
        <v>58</v>
      </c>
      <c r="AS45" t="s">
        <v>58</v>
      </c>
      <c r="AT45" t="s">
        <v>58</v>
      </c>
      <c r="AU45" t="s">
        <v>58</v>
      </c>
      <c r="AV45" t="s">
        <v>58</v>
      </c>
      <c r="AW45" t="s">
        <v>58</v>
      </c>
      <c r="AX45" t="s">
        <v>58</v>
      </c>
    </row>
    <row r="46" spans="1:50" x14ac:dyDescent="0.25">
      <c r="A46" s="275">
        <v>810000455</v>
      </c>
      <c r="B46" t="str">
        <f>VLOOKUP(infpen!A46,scansanté2024!$B$12:$L$69,2)</f>
        <v>CH LAVAUR</v>
      </c>
      <c r="C46" t="s">
        <v>59</v>
      </c>
      <c r="D46" s="74" t="str">
        <f>VLOOKUP(A46,dotpop24!$B$8:$U$67,3)</f>
        <v>EPS</v>
      </c>
      <c r="E46">
        <v>13</v>
      </c>
      <c r="F46">
        <v>0</v>
      </c>
      <c r="G46">
        <v>0</v>
      </c>
      <c r="H46">
        <v>0</v>
      </c>
      <c r="I46">
        <v>0</v>
      </c>
      <c r="J46">
        <v>0</v>
      </c>
      <c r="K46">
        <v>2107</v>
      </c>
      <c r="L46">
        <v>0</v>
      </c>
      <c r="M46">
        <v>0</v>
      </c>
      <c r="N46">
        <v>0</v>
      </c>
      <c r="O46">
        <v>0</v>
      </c>
      <c r="P46">
        <v>0</v>
      </c>
      <c r="Q46" s="105">
        <f t="shared" si="4"/>
        <v>0.44404636459430979</v>
      </c>
      <c r="R46" s="105" t="e">
        <f t="shared" si="5"/>
        <v>#DIV/0!</v>
      </c>
      <c r="S46" s="105" t="e">
        <f t="shared" si="6"/>
        <v>#DIV/0!</v>
      </c>
      <c r="T46" s="105" t="e">
        <f t="shared" si="7"/>
        <v>#DIV/0!</v>
      </c>
      <c r="U46" s="105" t="e">
        <f t="shared" si="8"/>
        <v>#DIV/0!</v>
      </c>
      <c r="V46" s="105" t="e">
        <f t="shared" si="9"/>
        <v>#DIV/0!</v>
      </c>
      <c r="W46" s="288">
        <f t="shared" si="10"/>
        <v>5.9273972602739722</v>
      </c>
      <c r="X46" s="288">
        <f t="shared" si="11"/>
        <v>0</v>
      </c>
      <c r="Y46" s="288">
        <f t="shared" si="12"/>
        <v>0</v>
      </c>
      <c r="Z46" s="288">
        <f t="shared" si="13"/>
        <v>0</v>
      </c>
      <c r="AA46" s="288">
        <f t="shared" si="14"/>
        <v>0</v>
      </c>
      <c r="AB46" s="288">
        <f t="shared" si="15"/>
        <v>0</v>
      </c>
      <c r="AC46">
        <v>13</v>
      </c>
      <c r="AD46">
        <v>0</v>
      </c>
      <c r="AE46">
        <v>6</v>
      </c>
      <c r="AF46">
        <v>2794</v>
      </c>
      <c r="AG46">
        <v>0</v>
      </c>
      <c r="AH46">
        <v>551</v>
      </c>
      <c r="AI46" s="284">
        <f t="shared" si="16"/>
        <v>0.5888303477344573</v>
      </c>
      <c r="AJ46" s="284" t="e">
        <f t="shared" si="17"/>
        <v>#DIV/0!</v>
      </c>
      <c r="AK46" s="284">
        <f t="shared" si="18"/>
        <v>0.25159817351598174</v>
      </c>
      <c r="AL46" s="272">
        <f t="shared" si="19"/>
        <v>4.6952054794520546</v>
      </c>
      <c r="AM46" s="272">
        <f t="shared" si="20"/>
        <v>0</v>
      </c>
      <c r="AN46" s="272">
        <f t="shared" si="21"/>
        <v>4.1904109589041099</v>
      </c>
      <c r="AO46">
        <v>5</v>
      </c>
      <c r="AP46">
        <v>5</v>
      </c>
      <c r="AQ46">
        <v>4</v>
      </c>
      <c r="AR46">
        <v>15225</v>
      </c>
      <c r="AS46">
        <v>130</v>
      </c>
      <c r="AT46">
        <v>0</v>
      </c>
      <c r="AU46">
        <v>220</v>
      </c>
      <c r="AV46">
        <v>26</v>
      </c>
      <c r="AW46" t="s">
        <v>58</v>
      </c>
      <c r="AX46">
        <v>307</v>
      </c>
    </row>
    <row r="47" spans="1:50" x14ac:dyDescent="0.25">
      <c r="A47" s="275">
        <v>810000455</v>
      </c>
      <c r="B47" t="str">
        <f>VLOOKUP(infpen!A47,scansanté2024!$B$12:$L$69,2)</f>
        <v>CH LAVAUR</v>
      </c>
      <c r="C47" t="s">
        <v>60</v>
      </c>
      <c r="D47" s="74" t="str">
        <f>VLOOKUP(A47,dotpop24!$B$8:$U$67,3)</f>
        <v>EPS</v>
      </c>
      <c r="E47">
        <v>0</v>
      </c>
      <c r="F47">
        <v>0</v>
      </c>
      <c r="G47">
        <v>0</v>
      </c>
      <c r="H47">
        <v>0</v>
      </c>
      <c r="I47">
        <v>0</v>
      </c>
      <c r="J47">
        <v>0</v>
      </c>
      <c r="K47">
        <v>0</v>
      </c>
      <c r="L47">
        <v>0</v>
      </c>
      <c r="M47">
        <v>0</v>
      </c>
      <c r="N47">
        <v>0</v>
      </c>
      <c r="O47">
        <v>0</v>
      </c>
      <c r="P47">
        <v>0</v>
      </c>
      <c r="Q47" s="105" t="e">
        <f t="shared" si="4"/>
        <v>#DIV/0!</v>
      </c>
      <c r="R47" s="105" t="e">
        <f t="shared" si="5"/>
        <v>#DIV/0!</v>
      </c>
      <c r="S47" s="105" t="e">
        <f t="shared" si="6"/>
        <v>#DIV/0!</v>
      </c>
      <c r="T47" s="105" t="e">
        <f t="shared" si="7"/>
        <v>#DIV/0!</v>
      </c>
      <c r="U47" s="105" t="e">
        <f t="shared" si="8"/>
        <v>#DIV/0!</v>
      </c>
      <c r="V47" s="105" t="e">
        <f t="shared" si="9"/>
        <v>#DIV/0!</v>
      </c>
      <c r="W47" s="288">
        <f t="shared" si="10"/>
        <v>0</v>
      </c>
      <c r="X47" s="288">
        <f t="shared" si="11"/>
        <v>0</v>
      </c>
      <c r="Y47" s="288">
        <f t="shared" si="12"/>
        <v>0</v>
      </c>
      <c r="Z47" s="288">
        <f t="shared" si="13"/>
        <v>0</v>
      </c>
      <c r="AA47" s="288">
        <f t="shared" si="14"/>
        <v>0</v>
      </c>
      <c r="AB47" s="288">
        <f t="shared" si="15"/>
        <v>0</v>
      </c>
      <c r="AC47">
        <v>0</v>
      </c>
      <c r="AD47">
        <v>0</v>
      </c>
      <c r="AE47">
        <v>0</v>
      </c>
      <c r="AF47">
        <v>0</v>
      </c>
      <c r="AG47">
        <v>0</v>
      </c>
      <c r="AH47">
        <v>0</v>
      </c>
      <c r="AI47" s="284" t="e">
        <f t="shared" si="16"/>
        <v>#DIV/0!</v>
      </c>
      <c r="AJ47" s="284" t="e">
        <f t="shared" si="17"/>
        <v>#DIV/0!</v>
      </c>
      <c r="AK47" s="284" t="e">
        <f t="shared" si="18"/>
        <v>#DIV/0!</v>
      </c>
      <c r="AL47" s="272">
        <f t="shared" si="19"/>
        <v>0</v>
      </c>
      <c r="AM47" s="272">
        <f t="shared" si="20"/>
        <v>0</v>
      </c>
      <c r="AN47" s="272">
        <f t="shared" si="21"/>
        <v>0</v>
      </c>
      <c r="AO47" t="s">
        <v>58</v>
      </c>
      <c r="AP47" t="s">
        <v>58</v>
      </c>
      <c r="AQ47" t="s">
        <v>58</v>
      </c>
      <c r="AR47" t="s">
        <v>58</v>
      </c>
      <c r="AS47" t="s">
        <v>58</v>
      </c>
      <c r="AT47" t="s">
        <v>58</v>
      </c>
      <c r="AU47">
        <v>7822</v>
      </c>
      <c r="AV47" t="s">
        <v>58</v>
      </c>
      <c r="AW47" t="s">
        <v>58</v>
      </c>
      <c r="AX47" t="s">
        <v>58</v>
      </c>
    </row>
    <row r="48" spans="1:50" x14ac:dyDescent="0.25">
      <c r="A48" s="273">
        <v>810100008</v>
      </c>
      <c r="B48" t="str">
        <f>VLOOKUP(infpen!A48,scansanté2024!$B$12:$L$69,2)</f>
        <v>CHS PIERRE JAMET</v>
      </c>
      <c r="C48" t="s">
        <v>59</v>
      </c>
      <c r="D48" s="74" t="str">
        <f>VLOOKUP(A48,dotpop24!$B$8:$U$67,3)</f>
        <v>EBNL</v>
      </c>
      <c r="E48">
        <v>5</v>
      </c>
      <c r="F48">
        <v>0</v>
      </c>
      <c r="G48">
        <v>0</v>
      </c>
      <c r="H48">
        <v>0</v>
      </c>
      <c r="I48">
        <v>0</v>
      </c>
      <c r="J48">
        <v>0</v>
      </c>
      <c r="K48">
        <v>1259</v>
      </c>
      <c r="L48">
        <v>0</v>
      </c>
      <c r="M48">
        <v>0</v>
      </c>
      <c r="N48">
        <v>0</v>
      </c>
      <c r="O48">
        <v>0</v>
      </c>
      <c r="P48">
        <v>0</v>
      </c>
      <c r="Q48" s="105">
        <f t="shared" si="4"/>
        <v>0.68986301369863012</v>
      </c>
      <c r="R48" s="105" t="e">
        <f t="shared" si="5"/>
        <v>#DIV/0!</v>
      </c>
      <c r="S48" s="105" t="e">
        <f t="shared" si="6"/>
        <v>#DIV/0!</v>
      </c>
      <c r="T48" s="105" t="e">
        <f t="shared" si="7"/>
        <v>#DIV/0!</v>
      </c>
      <c r="U48" s="105" t="e">
        <f t="shared" si="8"/>
        <v>#DIV/0!</v>
      </c>
      <c r="V48" s="105" t="e">
        <f t="shared" si="9"/>
        <v>#DIV/0!</v>
      </c>
      <c r="W48" s="288">
        <f t="shared" si="10"/>
        <v>1.0506849315068494</v>
      </c>
      <c r="X48" s="288">
        <f t="shared" si="11"/>
        <v>0</v>
      </c>
      <c r="Y48" s="288">
        <f t="shared" si="12"/>
        <v>0</v>
      </c>
      <c r="Z48" s="288">
        <f t="shared" si="13"/>
        <v>0</v>
      </c>
      <c r="AA48" s="288">
        <f t="shared" si="14"/>
        <v>0</v>
      </c>
      <c r="AB48" s="288">
        <f t="shared" si="15"/>
        <v>0</v>
      </c>
      <c r="AC48">
        <v>49</v>
      </c>
      <c r="AD48">
        <v>0</v>
      </c>
      <c r="AE48">
        <v>0</v>
      </c>
      <c r="AF48">
        <v>3252</v>
      </c>
      <c r="AG48">
        <v>0</v>
      </c>
      <c r="AH48">
        <v>0</v>
      </c>
      <c r="AI48" s="284">
        <f t="shared" si="16"/>
        <v>0.18182834777746715</v>
      </c>
      <c r="AJ48" s="284" t="e">
        <f t="shared" si="17"/>
        <v>#DIV/0!</v>
      </c>
      <c r="AK48" s="284" t="e">
        <f t="shared" si="18"/>
        <v>#DIV/0!</v>
      </c>
      <c r="AL48" s="272">
        <f t="shared" si="19"/>
        <v>37.640410958904113</v>
      </c>
      <c r="AM48" s="272">
        <f t="shared" si="20"/>
        <v>0</v>
      </c>
      <c r="AN48" s="272">
        <f t="shared" si="21"/>
        <v>0</v>
      </c>
      <c r="AO48">
        <v>5</v>
      </c>
      <c r="AP48">
        <v>2</v>
      </c>
      <c r="AQ48">
        <v>1</v>
      </c>
      <c r="AR48">
        <v>22743</v>
      </c>
      <c r="AS48">
        <v>6577</v>
      </c>
      <c r="AT48">
        <v>6</v>
      </c>
      <c r="AU48">
        <v>274</v>
      </c>
      <c r="AV48">
        <v>29</v>
      </c>
      <c r="AW48">
        <v>345</v>
      </c>
      <c r="AX48">
        <v>17</v>
      </c>
    </row>
    <row r="49" spans="1:50" x14ac:dyDescent="0.25">
      <c r="A49" s="273">
        <v>810100008</v>
      </c>
      <c r="B49" t="str">
        <f>VLOOKUP(infpen!A49,scansanté2024!$B$12:$L$69,2)</f>
        <v>CHS PIERRE JAMET</v>
      </c>
      <c r="C49" t="s">
        <v>60</v>
      </c>
      <c r="D49" s="74" t="str">
        <f>VLOOKUP(A49,dotpop24!$B$8:$U$67,3)</f>
        <v>EBNL</v>
      </c>
      <c r="E49">
        <v>0</v>
      </c>
      <c r="F49">
        <v>0</v>
      </c>
      <c r="G49">
        <v>0</v>
      </c>
      <c r="H49">
        <v>0</v>
      </c>
      <c r="I49">
        <v>0</v>
      </c>
      <c r="J49">
        <v>0</v>
      </c>
      <c r="K49">
        <v>0</v>
      </c>
      <c r="L49">
        <v>0</v>
      </c>
      <c r="M49">
        <v>0</v>
      </c>
      <c r="N49">
        <v>0</v>
      </c>
      <c r="O49">
        <v>0</v>
      </c>
      <c r="P49">
        <v>0</v>
      </c>
      <c r="Q49" s="105" t="e">
        <f t="shared" si="4"/>
        <v>#DIV/0!</v>
      </c>
      <c r="R49" s="105" t="e">
        <f t="shared" si="5"/>
        <v>#DIV/0!</v>
      </c>
      <c r="S49" s="105" t="e">
        <f t="shared" si="6"/>
        <v>#DIV/0!</v>
      </c>
      <c r="T49" s="105" t="e">
        <f t="shared" si="7"/>
        <v>#DIV/0!</v>
      </c>
      <c r="U49" s="105" t="e">
        <f t="shared" si="8"/>
        <v>#DIV/0!</v>
      </c>
      <c r="V49" s="105" t="e">
        <f t="shared" si="9"/>
        <v>#DIV/0!</v>
      </c>
      <c r="W49" s="288">
        <f t="shared" si="10"/>
        <v>0</v>
      </c>
      <c r="X49" s="288">
        <f t="shared" si="11"/>
        <v>0</v>
      </c>
      <c r="Y49" s="288">
        <f t="shared" si="12"/>
        <v>0</v>
      </c>
      <c r="Z49" s="288">
        <f t="shared" si="13"/>
        <v>0</v>
      </c>
      <c r="AA49" s="288">
        <f t="shared" si="14"/>
        <v>0</v>
      </c>
      <c r="AB49" s="288">
        <f t="shared" si="15"/>
        <v>0</v>
      </c>
      <c r="AC49">
        <v>0</v>
      </c>
      <c r="AD49">
        <v>0</v>
      </c>
      <c r="AE49">
        <v>0</v>
      </c>
      <c r="AF49">
        <v>0</v>
      </c>
      <c r="AG49">
        <v>0</v>
      </c>
      <c r="AH49">
        <v>0</v>
      </c>
      <c r="AI49" s="284" t="e">
        <f t="shared" si="16"/>
        <v>#DIV/0!</v>
      </c>
      <c r="AJ49" s="284" t="e">
        <f t="shared" si="17"/>
        <v>#DIV/0!</v>
      </c>
      <c r="AK49" s="284" t="e">
        <f t="shared" si="18"/>
        <v>#DIV/0!</v>
      </c>
      <c r="AL49" s="272">
        <f t="shared" si="19"/>
        <v>0</v>
      </c>
      <c r="AM49" s="272">
        <f t="shared" si="20"/>
        <v>0</v>
      </c>
      <c r="AN49" s="272">
        <f t="shared" si="21"/>
        <v>0</v>
      </c>
      <c r="AO49" t="s">
        <v>58</v>
      </c>
      <c r="AP49" t="s">
        <v>58</v>
      </c>
      <c r="AQ49" t="s">
        <v>58</v>
      </c>
      <c r="AR49" t="s">
        <v>58</v>
      </c>
      <c r="AS49" t="s">
        <v>58</v>
      </c>
      <c r="AT49" t="s">
        <v>58</v>
      </c>
      <c r="AU49">
        <v>1068</v>
      </c>
      <c r="AV49" t="s">
        <v>58</v>
      </c>
      <c r="AW49" t="s">
        <v>58</v>
      </c>
      <c r="AX49" t="s">
        <v>58</v>
      </c>
    </row>
    <row r="50" spans="1:50" x14ac:dyDescent="0.25">
      <c r="A50" s="281">
        <v>820000016</v>
      </c>
      <c r="B50" t="str">
        <f>VLOOKUP(infpen!A50,scansanté2024!$B$12:$L$69,2)</f>
        <v>CH MONTAUBAN</v>
      </c>
      <c r="C50" s="108" t="s">
        <v>59</v>
      </c>
      <c r="D50" s="74" t="str">
        <f>VLOOKUP(A50,dotpop24!$B$8:$U$67,3)</f>
        <v>EPS</v>
      </c>
      <c r="E50" s="108">
        <v>8</v>
      </c>
      <c r="F50" s="108">
        <v>0</v>
      </c>
      <c r="G50" s="108">
        <v>0</v>
      </c>
      <c r="H50" s="108">
        <v>0</v>
      </c>
      <c r="I50" s="108">
        <v>0</v>
      </c>
      <c r="J50" s="108">
        <v>0</v>
      </c>
      <c r="K50" s="108">
        <v>2285</v>
      </c>
      <c r="L50" s="108">
        <v>0</v>
      </c>
      <c r="M50" s="108">
        <v>0</v>
      </c>
      <c r="N50" s="108">
        <v>0</v>
      </c>
      <c r="O50" s="108">
        <v>0</v>
      </c>
      <c r="P50" s="108">
        <v>0</v>
      </c>
      <c r="Q50" s="105">
        <f t="shared" si="4"/>
        <v>0.78253424657534243</v>
      </c>
      <c r="R50" s="105" t="e">
        <f t="shared" si="5"/>
        <v>#DIV/0!</v>
      </c>
      <c r="S50" s="105" t="e">
        <f t="shared" si="6"/>
        <v>#DIV/0!</v>
      </c>
      <c r="T50" s="105" t="e">
        <f t="shared" si="7"/>
        <v>#DIV/0!</v>
      </c>
      <c r="U50" s="105" t="e">
        <f t="shared" si="8"/>
        <v>#DIV/0!</v>
      </c>
      <c r="V50" s="105" t="e">
        <f t="shared" si="9"/>
        <v>#DIV/0!</v>
      </c>
      <c r="W50" s="288">
        <f t="shared" si="10"/>
        <v>0.9397260273972603</v>
      </c>
      <c r="X50" s="288">
        <f t="shared" si="11"/>
        <v>0</v>
      </c>
      <c r="Y50" s="288">
        <f t="shared" si="12"/>
        <v>0</v>
      </c>
      <c r="Z50" s="288">
        <f t="shared" si="13"/>
        <v>0</v>
      </c>
      <c r="AA50" s="288">
        <f t="shared" si="14"/>
        <v>0</v>
      </c>
      <c r="AB50" s="288">
        <f t="shared" si="15"/>
        <v>0</v>
      </c>
      <c r="AC50" s="108">
        <v>0</v>
      </c>
      <c r="AD50" s="108">
        <v>0</v>
      </c>
      <c r="AE50" s="108">
        <v>0</v>
      </c>
      <c r="AF50" s="108">
        <v>0</v>
      </c>
      <c r="AG50" s="108">
        <v>0</v>
      </c>
      <c r="AH50" s="108">
        <v>0</v>
      </c>
      <c r="AI50" s="284" t="e">
        <f t="shared" si="16"/>
        <v>#DIV/0!</v>
      </c>
      <c r="AJ50" s="284" t="e">
        <f t="shared" si="17"/>
        <v>#DIV/0!</v>
      </c>
      <c r="AK50" s="284" t="e">
        <f t="shared" si="18"/>
        <v>#DIV/0!</v>
      </c>
      <c r="AL50" s="272">
        <f t="shared" si="19"/>
        <v>0</v>
      </c>
      <c r="AM50" s="272">
        <f t="shared" si="20"/>
        <v>0</v>
      </c>
      <c r="AN50" s="272">
        <f t="shared" si="21"/>
        <v>0</v>
      </c>
      <c r="AO50" s="108">
        <v>3</v>
      </c>
      <c r="AP50" s="108">
        <v>1</v>
      </c>
      <c r="AQ50" s="108" t="s">
        <v>58</v>
      </c>
      <c r="AR50" s="108">
        <v>1695</v>
      </c>
      <c r="AS50" s="108">
        <v>50</v>
      </c>
      <c r="AT50" s="108">
        <v>0</v>
      </c>
      <c r="AU50" s="108">
        <v>338</v>
      </c>
      <c r="AV50" s="108">
        <v>0</v>
      </c>
      <c r="AW50" s="108">
        <v>1245</v>
      </c>
      <c r="AX50" s="108">
        <v>0</v>
      </c>
    </row>
    <row r="51" spans="1:50" x14ac:dyDescent="0.25">
      <c r="A51" s="273">
        <v>820000016</v>
      </c>
      <c r="B51" t="str">
        <f>VLOOKUP(infpen!A51,scansanté2024!$B$12:$L$69,2)</f>
        <v>CH MONTAUBAN</v>
      </c>
      <c r="C51" t="s">
        <v>60</v>
      </c>
      <c r="D51" s="74" t="str">
        <f>VLOOKUP(A51,dotpop24!$B$8:$U$67,3)</f>
        <v>EPS</v>
      </c>
      <c r="E51">
        <v>0</v>
      </c>
      <c r="F51">
        <v>0</v>
      </c>
      <c r="G51">
        <v>0</v>
      </c>
      <c r="H51">
        <v>0</v>
      </c>
      <c r="I51">
        <v>0</v>
      </c>
      <c r="J51">
        <v>0</v>
      </c>
      <c r="K51">
        <v>0</v>
      </c>
      <c r="L51">
        <v>0</v>
      </c>
      <c r="M51">
        <v>0</v>
      </c>
      <c r="N51">
        <v>0</v>
      </c>
      <c r="O51">
        <v>0</v>
      </c>
      <c r="P51">
        <v>0</v>
      </c>
      <c r="Q51" s="105" t="e">
        <f t="shared" si="4"/>
        <v>#DIV/0!</v>
      </c>
      <c r="R51" s="105" t="e">
        <f t="shared" si="5"/>
        <v>#DIV/0!</v>
      </c>
      <c r="S51" s="105" t="e">
        <f t="shared" si="6"/>
        <v>#DIV/0!</v>
      </c>
      <c r="T51" s="105" t="e">
        <f t="shared" si="7"/>
        <v>#DIV/0!</v>
      </c>
      <c r="U51" s="105" t="e">
        <f t="shared" si="8"/>
        <v>#DIV/0!</v>
      </c>
      <c r="V51" s="105" t="e">
        <f t="shared" si="9"/>
        <v>#DIV/0!</v>
      </c>
      <c r="W51" s="288">
        <f t="shared" si="10"/>
        <v>0</v>
      </c>
      <c r="X51" s="288">
        <f t="shared" si="11"/>
        <v>0</v>
      </c>
      <c r="Y51" s="288">
        <f t="shared" si="12"/>
        <v>0</v>
      </c>
      <c r="Z51" s="288">
        <f t="shared" si="13"/>
        <v>0</v>
      </c>
      <c r="AA51" s="288">
        <f t="shared" si="14"/>
        <v>0</v>
      </c>
      <c r="AB51" s="288">
        <f t="shared" si="15"/>
        <v>0</v>
      </c>
      <c r="AC51">
        <v>0</v>
      </c>
      <c r="AD51">
        <v>0</v>
      </c>
      <c r="AE51">
        <v>0</v>
      </c>
      <c r="AF51">
        <v>0</v>
      </c>
      <c r="AG51">
        <v>0</v>
      </c>
      <c r="AH51">
        <v>0</v>
      </c>
      <c r="AI51" s="284" t="e">
        <f t="shared" si="16"/>
        <v>#DIV/0!</v>
      </c>
      <c r="AJ51" s="284" t="e">
        <f t="shared" si="17"/>
        <v>#DIV/0!</v>
      </c>
      <c r="AK51" s="284" t="e">
        <f t="shared" si="18"/>
        <v>#DIV/0!</v>
      </c>
      <c r="AL51" s="272">
        <f t="shared" si="19"/>
        <v>0</v>
      </c>
      <c r="AM51" s="272">
        <f t="shared" si="20"/>
        <v>0</v>
      </c>
      <c r="AN51" s="272">
        <f t="shared" si="21"/>
        <v>0</v>
      </c>
      <c r="AO51" t="s">
        <v>58</v>
      </c>
      <c r="AP51" t="s">
        <v>58</v>
      </c>
      <c r="AQ51" t="s">
        <v>58</v>
      </c>
      <c r="AR51" t="s">
        <v>58</v>
      </c>
      <c r="AS51" t="s">
        <v>58</v>
      </c>
      <c r="AT51" t="s">
        <v>58</v>
      </c>
      <c r="AU51" t="s">
        <v>58</v>
      </c>
      <c r="AV51" t="s">
        <v>58</v>
      </c>
      <c r="AW51" t="s">
        <v>58</v>
      </c>
      <c r="AX51" t="s">
        <v>58</v>
      </c>
    </row>
    <row r="52" spans="1:50" x14ac:dyDescent="0.25">
      <c r="A52" s="281">
        <v>820000016</v>
      </c>
      <c r="B52" t="str">
        <f>VLOOKUP(infpen!A52,scansanté2024!$B$12:$L$69,2)</f>
        <v>CH MONTAUBAN</v>
      </c>
      <c r="C52" s="108" t="s">
        <v>59</v>
      </c>
      <c r="D52" s="74" t="str">
        <f>VLOOKUP(A52,dotpop24!$B$8:$U$67,3)</f>
        <v>EPS</v>
      </c>
      <c r="E52" s="108">
        <v>0</v>
      </c>
      <c r="F52" s="108">
        <v>3</v>
      </c>
      <c r="G52" s="108">
        <v>0</v>
      </c>
      <c r="H52" s="108">
        <v>0</v>
      </c>
      <c r="I52" s="108">
        <v>0</v>
      </c>
      <c r="J52" s="108">
        <v>0</v>
      </c>
      <c r="K52" s="108">
        <v>0</v>
      </c>
      <c r="L52" s="108">
        <v>0</v>
      </c>
      <c r="M52" s="108">
        <v>0</v>
      </c>
      <c r="N52" s="108">
        <v>0</v>
      </c>
      <c r="O52" s="108">
        <v>0</v>
      </c>
      <c r="P52" s="108">
        <v>0</v>
      </c>
      <c r="Q52" s="105" t="e">
        <f t="shared" si="4"/>
        <v>#DIV/0!</v>
      </c>
      <c r="R52" s="105">
        <f t="shared" si="5"/>
        <v>0</v>
      </c>
      <c r="S52" s="105" t="e">
        <f t="shared" si="6"/>
        <v>#DIV/0!</v>
      </c>
      <c r="T52" s="105" t="e">
        <f t="shared" si="7"/>
        <v>#DIV/0!</v>
      </c>
      <c r="U52" s="105" t="e">
        <f t="shared" si="8"/>
        <v>#DIV/0!</v>
      </c>
      <c r="V52" s="105" t="e">
        <f t="shared" si="9"/>
        <v>#DIV/0!</v>
      </c>
      <c r="W52" s="288">
        <f t="shared" si="10"/>
        <v>0</v>
      </c>
      <c r="X52" s="288">
        <f t="shared" si="11"/>
        <v>2.7</v>
      </c>
      <c r="Y52" s="288">
        <f t="shared" si="12"/>
        <v>0</v>
      </c>
      <c r="Z52" s="288">
        <f t="shared" si="13"/>
        <v>0</v>
      </c>
      <c r="AA52" s="288">
        <f t="shared" si="14"/>
        <v>0</v>
      </c>
      <c r="AB52" s="288">
        <f t="shared" si="15"/>
        <v>0</v>
      </c>
      <c r="AC52" s="108">
        <v>42</v>
      </c>
      <c r="AD52" s="108">
        <v>0</v>
      </c>
      <c r="AE52" s="108">
        <v>0</v>
      </c>
      <c r="AF52" s="108">
        <v>1828</v>
      </c>
      <c r="AG52" s="108">
        <v>0</v>
      </c>
      <c r="AH52" s="108">
        <v>0</v>
      </c>
      <c r="AI52" s="284">
        <f t="shared" si="16"/>
        <v>0.11924331376386171</v>
      </c>
      <c r="AJ52" s="284" t="e">
        <f t="shared" si="17"/>
        <v>#DIV/0!</v>
      </c>
      <c r="AK52" s="284" t="e">
        <f t="shared" si="18"/>
        <v>#DIV/0!</v>
      </c>
      <c r="AL52" s="272">
        <f t="shared" si="19"/>
        <v>34.891780821917806</v>
      </c>
      <c r="AM52" s="272">
        <f t="shared" si="20"/>
        <v>0</v>
      </c>
      <c r="AN52" s="272">
        <f t="shared" si="21"/>
        <v>0</v>
      </c>
      <c r="AO52" s="108">
        <v>7</v>
      </c>
      <c r="AP52" s="108">
        <v>2</v>
      </c>
      <c r="AQ52" s="108">
        <v>1</v>
      </c>
      <c r="AR52" s="108">
        <v>14411</v>
      </c>
      <c r="AS52" s="108">
        <v>108</v>
      </c>
      <c r="AT52" s="108">
        <v>1097</v>
      </c>
      <c r="AU52" s="108">
        <v>11</v>
      </c>
      <c r="AV52" s="108">
        <v>0</v>
      </c>
      <c r="AW52" s="108">
        <v>66</v>
      </c>
      <c r="AX52" s="108">
        <v>0</v>
      </c>
    </row>
    <row r="53" spans="1:50" x14ac:dyDescent="0.25">
      <c r="A53" s="283">
        <v>820005908</v>
      </c>
      <c r="B53" t="str">
        <f>VLOOKUP(infpen!A53,scansanté2024!$B$12:$L$69,2)</f>
        <v>FONDATION JOHN BOST, PAVILLON LOU CAMIN</v>
      </c>
      <c r="C53" s="108" t="s">
        <v>59</v>
      </c>
      <c r="D53" s="74" t="str">
        <f>VLOOKUP(A53,dotpop24!$B$8:$U$67,3)</f>
        <v>EBNL</v>
      </c>
      <c r="E53" s="108">
        <v>0</v>
      </c>
      <c r="F53" s="108">
        <v>0</v>
      </c>
      <c r="G53" s="108">
        <v>0</v>
      </c>
      <c r="H53" s="108">
        <v>0</v>
      </c>
      <c r="I53" s="108">
        <v>0</v>
      </c>
      <c r="J53" s="108">
        <v>0</v>
      </c>
      <c r="K53" s="108">
        <v>0</v>
      </c>
      <c r="L53" s="108">
        <v>0</v>
      </c>
      <c r="M53" s="108">
        <v>0</v>
      </c>
      <c r="N53" s="108">
        <v>0</v>
      </c>
      <c r="O53" s="108">
        <v>0</v>
      </c>
      <c r="P53" s="108">
        <v>0</v>
      </c>
      <c r="Q53" s="105" t="e">
        <f t="shared" si="4"/>
        <v>#DIV/0!</v>
      </c>
      <c r="R53" s="105" t="e">
        <f t="shared" si="5"/>
        <v>#DIV/0!</v>
      </c>
      <c r="S53" s="105" t="e">
        <f t="shared" si="6"/>
        <v>#DIV/0!</v>
      </c>
      <c r="T53" s="105" t="e">
        <f t="shared" si="7"/>
        <v>#DIV/0!</v>
      </c>
      <c r="U53" s="105" t="e">
        <f t="shared" si="8"/>
        <v>#DIV/0!</v>
      </c>
      <c r="V53" s="105" t="e">
        <f t="shared" si="9"/>
        <v>#DIV/0!</v>
      </c>
      <c r="W53" s="288">
        <f t="shared" si="10"/>
        <v>0</v>
      </c>
      <c r="X53" s="288">
        <f t="shared" si="11"/>
        <v>0</v>
      </c>
      <c r="Y53" s="288">
        <f t="shared" si="12"/>
        <v>0</v>
      </c>
      <c r="Z53" s="288">
        <f t="shared" si="13"/>
        <v>0</v>
      </c>
      <c r="AA53" s="288">
        <f t="shared" si="14"/>
        <v>0</v>
      </c>
      <c r="AB53" s="288">
        <f t="shared" si="15"/>
        <v>0</v>
      </c>
      <c r="AC53" s="108">
        <v>0</v>
      </c>
      <c r="AD53" s="108">
        <v>0</v>
      </c>
      <c r="AE53" s="108">
        <v>1</v>
      </c>
      <c r="AF53" s="108">
        <v>0</v>
      </c>
      <c r="AG53" s="108">
        <v>0</v>
      </c>
      <c r="AH53" s="108">
        <v>210</v>
      </c>
      <c r="AI53" s="284" t="e">
        <f t="shared" si="16"/>
        <v>#DIV/0!</v>
      </c>
      <c r="AJ53" s="284" t="e">
        <f t="shared" si="17"/>
        <v>#DIV/0!</v>
      </c>
      <c r="AK53" s="284">
        <f t="shared" si="18"/>
        <v>0.57534246575342463</v>
      </c>
      <c r="AL53" s="272">
        <f t="shared" si="19"/>
        <v>0</v>
      </c>
      <c r="AM53" s="272">
        <f t="shared" si="20"/>
        <v>0</v>
      </c>
      <c r="AN53" s="272">
        <f t="shared" si="21"/>
        <v>0.37465753424657533</v>
      </c>
      <c r="AO53" s="108">
        <v>1</v>
      </c>
      <c r="AP53" s="108" t="s">
        <v>58</v>
      </c>
      <c r="AQ53" s="108" t="s">
        <v>58</v>
      </c>
      <c r="AR53" s="108">
        <v>1357</v>
      </c>
      <c r="AS53" s="108" t="s">
        <v>58</v>
      </c>
      <c r="AT53" s="108" t="s">
        <v>58</v>
      </c>
      <c r="AU53" s="108" t="s">
        <v>58</v>
      </c>
      <c r="AV53" s="108" t="s">
        <v>58</v>
      </c>
      <c r="AW53" s="108" t="s">
        <v>58</v>
      </c>
      <c r="AX53" s="108" t="s">
        <v>58</v>
      </c>
    </row>
    <row r="54" spans="1:50" x14ac:dyDescent="0.25">
      <c r="A54" s="292" t="s">
        <v>515</v>
      </c>
      <c r="E54" s="293">
        <f t="shared" ref="E54:V54" si="22">SUMIFS(E$5:E$53, $D$5:$D$53, "EPS", $C$5:$C$53, "PEN")</f>
        <v>40</v>
      </c>
      <c r="F54" s="293">
        <f t="shared" si="22"/>
        <v>0</v>
      </c>
      <c r="G54" s="293">
        <f t="shared" si="22"/>
        <v>0</v>
      </c>
      <c r="H54" s="293">
        <f t="shared" si="22"/>
        <v>0</v>
      </c>
      <c r="I54" s="293">
        <f t="shared" si="22"/>
        <v>0</v>
      </c>
      <c r="J54" s="293">
        <f t="shared" si="22"/>
        <v>0</v>
      </c>
      <c r="K54" s="293">
        <f t="shared" si="22"/>
        <v>13948</v>
      </c>
      <c r="L54" s="293">
        <f t="shared" si="22"/>
        <v>0</v>
      </c>
      <c r="M54" s="293">
        <f t="shared" si="22"/>
        <v>0</v>
      </c>
      <c r="N54" s="293">
        <f t="shared" si="22"/>
        <v>0</v>
      </c>
      <c r="O54" s="293">
        <f t="shared" si="22"/>
        <v>0</v>
      </c>
      <c r="P54" s="293">
        <f t="shared" si="22"/>
        <v>0</v>
      </c>
      <c r="Q54" s="308"/>
      <c r="R54" s="308"/>
      <c r="S54" s="308"/>
      <c r="T54" s="308"/>
      <c r="U54" s="308"/>
      <c r="V54" s="308"/>
      <c r="W54" s="293">
        <f>SUMIFS(W$5:W$53, $D$5:$D$53, "EPS", $C$5:$C$53, "PEN")</f>
        <v>0</v>
      </c>
      <c r="X54" s="293">
        <f t="shared" ref="X54:AX54" si="23">SUMIFS(X$5:X$53, $D$5:$D$53, "EPS", $C$5:$C$53, "PEN")</f>
        <v>0</v>
      </c>
      <c r="Y54" s="293">
        <f t="shared" si="23"/>
        <v>0</v>
      </c>
      <c r="Z54" s="293">
        <f t="shared" si="23"/>
        <v>0</v>
      </c>
      <c r="AA54" s="293">
        <f t="shared" si="23"/>
        <v>0</v>
      </c>
      <c r="AB54" s="293">
        <f t="shared" si="23"/>
        <v>0</v>
      </c>
      <c r="AC54" s="293">
        <f t="shared" si="23"/>
        <v>31</v>
      </c>
      <c r="AD54" s="293">
        <f t="shared" si="23"/>
        <v>0</v>
      </c>
      <c r="AE54" s="293">
        <f t="shared" si="23"/>
        <v>0</v>
      </c>
      <c r="AF54" s="293">
        <f t="shared" si="23"/>
        <v>8669</v>
      </c>
      <c r="AG54" s="293">
        <f t="shared" si="23"/>
        <v>0</v>
      </c>
      <c r="AH54" s="293">
        <f t="shared" si="23"/>
        <v>0</v>
      </c>
      <c r="AI54" s="288"/>
      <c r="AJ54" s="288"/>
      <c r="AK54" s="288"/>
      <c r="AL54" s="293">
        <f t="shared" si="23"/>
        <v>5.6993150684931511</v>
      </c>
      <c r="AM54" s="293">
        <f t="shared" si="23"/>
        <v>0</v>
      </c>
      <c r="AN54" s="293">
        <f t="shared" si="23"/>
        <v>0</v>
      </c>
      <c r="AO54" s="293">
        <f t="shared" si="23"/>
        <v>0</v>
      </c>
      <c r="AP54" s="293">
        <f t="shared" si="23"/>
        <v>0</v>
      </c>
      <c r="AQ54" s="293">
        <f t="shared" si="23"/>
        <v>0</v>
      </c>
      <c r="AR54" s="293">
        <f t="shared" si="23"/>
        <v>0</v>
      </c>
      <c r="AS54" s="293">
        <f t="shared" si="23"/>
        <v>0</v>
      </c>
      <c r="AT54" s="293">
        <f t="shared" si="23"/>
        <v>0</v>
      </c>
      <c r="AU54" s="293">
        <f t="shared" si="23"/>
        <v>86157</v>
      </c>
      <c r="AV54" s="293">
        <f t="shared" si="23"/>
        <v>0</v>
      </c>
      <c r="AW54" s="293">
        <f t="shared" si="23"/>
        <v>0</v>
      </c>
      <c r="AX54" s="293">
        <f t="shared" si="23"/>
        <v>0</v>
      </c>
    </row>
    <row r="55" spans="1:50" x14ac:dyDescent="0.25">
      <c r="A55" s="292" t="s">
        <v>516</v>
      </c>
      <c r="E55" s="293">
        <f t="shared" ref="E55:V55" si="24">SUMIFS(E$5:E$53, $D$5:$D$53, "EBNL", $C$5:$C$53, "PEN")</f>
        <v>0</v>
      </c>
      <c r="F55" s="293">
        <f t="shared" si="24"/>
        <v>0</v>
      </c>
      <c r="G55" s="293">
        <f t="shared" si="24"/>
        <v>0</v>
      </c>
      <c r="H55" s="293">
        <f t="shared" si="24"/>
        <v>0</v>
      </c>
      <c r="I55" s="293">
        <f t="shared" si="24"/>
        <v>0</v>
      </c>
      <c r="J55" s="293">
        <f t="shared" si="24"/>
        <v>0</v>
      </c>
      <c r="K55" s="293">
        <f t="shared" si="24"/>
        <v>0</v>
      </c>
      <c r="L55" s="293">
        <f t="shared" si="24"/>
        <v>0</v>
      </c>
      <c r="M55" s="293">
        <f t="shared" si="24"/>
        <v>0</v>
      </c>
      <c r="N55" s="293">
        <f t="shared" si="24"/>
        <v>0</v>
      </c>
      <c r="O55" s="293">
        <f t="shared" si="24"/>
        <v>0</v>
      </c>
      <c r="P55" s="293">
        <f t="shared" si="24"/>
        <v>0</v>
      </c>
      <c r="Q55" s="308"/>
      <c r="R55" s="308"/>
      <c r="S55" s="308"/>
      <c r="T55" s="308"/>
      <c r="U55" s="308"/>
      <c r="V55" s="308"/>
      <c r="W55" s="293">
        <f>SUMIFS(W$5:W$53, $D$5:$D$53, "EBNL", $C$5:$C$53, "PEN")</f>
        <v>0</v>
      </c>
      <c r="X55" s="293">
        <f t="shared" ref="X55:AX55" si="25">SUMIFS(X$5:X$53, $D$5:$D$53, "EBNL", $C$5:$C$53, "PEN")</f>
        <v>0</v>
      </c>
      <c r="Y55" s="293">
        <f t="shared" si="25"/>
        <v>0</v>
      </c>
      <c r="Z55" s="293">
        <f t="shared" si="25"/>
        <v>0</v>
      </c>
      <c r="AA55" s="293">
        <f t="shared" si="25"/>
        <v>0</v>
      </c>
      <c r="AB55" s="293">
        <f t="shared" si="25"/>
        <v>0</v>
      </c>
      <c r="AC55" s="293">
        <f t="shared" si="25"/>
        <v>0</v>
      </c>
      <c r="AD55" s="293">
        <f t="shared" si="25"/>
        <v>0</v>
      </c>
      <c r="AE55" s="293">
        <f t="shared" si="25"/>
        <v>0</v>
      </c>
      <c r="AF55" s="293">
        <f t="shared" si="25"/>
        <v>0</v>
      </c>
      <c r="AG55" s="293">
        <f t="shared" si="25"/>
        <v>0</v>
      </c>
      <c r="AH55" s="293">
        <f t="shared" si="25"/>
        <v>0</v>
      </c>
      <c r="AI55" s="288"/>
      <c r="AJ55" s="288"/>
      <c r="AK55" s="288"/>
      <c r="AL55" s="293">
        <f t="shared" si="25"/>
        <v>0</v>
      </c>
      <c r="AM55" s="293">
        <f t="shared" si="25"/>
        <v>0</v>
      </c>
      <c r="AN55" s="293">
        <f t="shared" si="25"/>
        <v>0</v>
      </c>
      <c r="AO55" s="293">
        <f t="shared" si="25"/>
        <v>0</v>
      </c>
      <c r="AP55" s="293">
        <f t="shared" si="25"/>
        <v>0</v>
      </c>
      <c r="AQ55" s="293">
        <f t="shared" si="25"/>
        <v>0</v>
      </c>
      <c r="AR55" s="293">
        <f t="shared" si="25"/>
        <v>0</v>
      </c>
      <c r="AS55" s="293">
        <f t="shared" si="25"/>
        <v>0</v>
      </c>
      <c r="AT55" s="293">
        <f t="shared" si="25"/>
        <v>0</v>
      </c>
      <c r="AU55" s="293">
        <f t="shared" si="25"/>
        <v>2337</v>
      </c>
      <c r="AV55" s="293">
        <f t="shared" si="25"/>
        <v>0</v>
      </c>
      <c r="AW55" s="293">
        <f t="shared" si="25"/>
        <v>0</v>
      </c>
      <c r="AX55" s="293">
        <f t="shared" si="25"/>
        <v>0</v>
      </c>
    </row>
    <row r="56" spans="1:50" x14ac:dyDescent="0.25">
      <c r="A56" s="292" t="s">
        <v>517</v>
      </c>
      <c r="E56" s="293">
        <f t="shared" ref="E56:V56" si="26">SUMIFS(E$5:E$53, $D$5:$D$53, "EBL", $C$5:$C$53, "PEN")</f>
        <v>0</v>
      </c>
      <c r="F56" s="293">
        <f t="shared" si="26"/>
        <v>0</v>
      </c>
      <c r="G56" s="293">
        <f t="shared" si="26"/>
        <v>0</v>
      </c>
      <c r="H56" s="293">
        <f t="shared" si="26"/>
        <v>0</v>
      </c>
      <c r="I56" s="293">
        <f t="shared" si="26"/>
        <v>0</v>
      </c>
      <c r="J56" s="293">
        <f t="shared" si="26"/>
        <v>0</v>
      </c>
      <c r="K56" s="293">
        <f t="shared" si="26"/>
        <v>0</v>
      </c>
      <c r="L56" s="293">
        <f t="shared" si="26"/>
        <v>0</v>
      </c>
      <c r="M56" s="293">
        <f t="shared" si="26"/>
        <v>0</v>
      </c>
      <c r="N56" s="293">
        <f t="shared" si="26"/>
        <v>0</v>
      </c>
      <c r="O56" s="293">
        <f t="shared" si="26"/>
        <v>0</v>
      </c>
      <c r="P56" s="293">
        <f t="shared" si="26"/>
        <v>0</v>
      </c>
      <c r="Q56" s="308"/>
      <c r="R56" s="308"/>
      <c r="S56" s="308"/>
      <c r="T56" s="308"/>
      <c r="U56" s="308"/>
      <c r="V56" s="308"/>
      <c r="W56" s="293">
        <f>SUMIFS(W$5:W$53, $D$5:$D$53, "EBL", $C$5:$C$53, "PEN")</f>
        <v>0</v>
      </c>
      <c r="X56" s="293">
        <f t="shared" ref="X56:AX56" si="27">SUMIFS(X$5:X$53, $D$5:$D$53, "EBL", $C$5:$C$53, "PEN")</f>
        <v>0</v>
      </c>
      <c r="Y56" s="293">
        <f t="shared" si="27"/>
        <v>0</v>
      </c>
      <c r="Z56" s="293">
        <f t="shared" si="27"/>
        <v>0</v>
      </c>
      <c r="AA56" s="293">
        <f t="shared" si="27"/>
        <v>0</v>
      </c>
      <c r="AB56" s="293">
        <f t="shared" si="27"/>
        <v>0</v>
      </c>
      <c r="AC56" s="293">
        <f t="shared" si="27"/>
        <v>0</v>
      </c>
      <c r="AD56" s="293">
        <f t="shared" si="27"/>
        <v>0</v>
      </c>
      <c r="AE56" s="293">
        <f t="shared" si="27"/>
        <v>0</v>
      </c>
      <c r="AF56" s="293">
        <f t="shared" si="27"/>
        <v>0</v>
      </c>
      <c r="AG56" s="293">
        <f t="shared" si="27"/>
        <v>0</v>
      </c>
      <c r="AH56" s="293">
        <f t="shared" si="27"/>
        <v>0</v>
      </c>
      <c r="AI56" s="288"/>
      <c r="AJ56" s="288"/>
      <c r="AK56" s="288"/>
      <c r="AL56" s="293">
        <f t="shared" si="27"/>
        <v>0</v>
      </c>
      <c r="AM56" s="293">
        <f t="shared" si="27"/>
        <v>0</v>
      </c>
      <c r="AN56" s="293">
        <f t="shared" si="27"/>
        <v>0</v>
      </c>
      <c r="AO56" s="293">
        <f t="shared" si="27"/>
        <v>0</v>
      </c>
      <c r="AP56" s="293">
        <f t="shared" si="27"/>
        <v>0</v>
      </c>
      <c r="AQ56" s="293">
        <f t="shared" si="27"/>
        <v>0</v>
      </c>
      <c r="AR56" s="293">
        <f t="shared" si="27"/>
        <v>0</v>
      </c>
      <c r="AS56" s="293">
        <f t="shared" si="27"/>
        <v>0</v>
      </c>
      <c r="AT56" s="293">
        <f t="shared" si="27"/>
        <v>0</v>
      </c>
      <c r="AU56" s="293">
        <f t="shared" si="27"/>
        <v>0</v>
      </c>
      <c r="AV56" s="293">
        <f t="shared" si="27"/>
        <v>0</v>
      </c>
      <c r="AW56" s="293">
        <f t="shared" si="27"/>
        <v>0</v>
      </c>
      <c r="AX56" s="293">
        <f t="shared" si="27"/>
        <v>0</v>
      </c>
    </row>
    <row r="57" spans="1:50" x14ac:dyDescent="0.25">
      <c r="A57" s="292" t="s">
        <v>518</v>
      </c>
      <c r="E57" s="293">
        <f t="shared" ref="E57:V57" si="28">E54+E55+E56</f>
        <v>40</v>
      </c>
      <c r="F57" s="293">
        <f t="shared" si="28"/>
        <v>0</v>
      </c>
      <c r="G57" s="293">
        <f t="shared" si="28"/>
        <v>0</v>
      </c>
      <c r="H57" s="293">
        <f t="shared" si="28"/>
        <v>0</v>
      </c>
      <c r="I57" s="293">
        <f t="shared" si="28"/>
        <v>0</v>
      </c>
      <c r="J57" s="293">
        <f t="shared" si="28"/>
        <v>0</v>
      </c>
      <c r="K57" s="293">
        <f t="shared" si="28"/>
        <v>13948</v>
      </c>
      <c r="L57" s="293">
        <f t="shared" si="28"/>
        <v>0</v>
      </c>
      <c r="M57" s="293">
        <f t="shared" si="28"/>
        <v>0</v>
      </c>
      <c r="N57" s="293">
        <f t="shared" si="28"/>
        <v>0</v>
      </c>
      <c r="O57" s="293">
        <f t="shared" si="28"/>
        <v>0</v>
      </c>
      <c r="P57" s="293">
        <f t="shared" si="28"/>
        <v>0</v>
      </c>
      <c r="Q57" s="308"/>
      <c r="R57" s="308"/>
      <c r="S57" s="308"/>
      <c r="T57" s="308"/>
      <c r="U57" s="308"/>
      <c r="V57" s="308"/>
      <c r="W57" s="293">
        <f>W54+W55+W56</f>
        <v>0</v>
      </c>
      <c r="X57" s="293">
        <f t="shared" ref="X57:AE57" si="29">X54+X55+X56</f>
        <v>0</v>
      </c>
      <c r="Y57" s="293">
        <f t="shared" si="29"/>
        <v>0</v>
      </c>
      <c r="Z57" s="293">
        <f t="shared" si="29"/>
        <v>0</v>
      </c>
      <c r="AA57" s="293">
        <f t="shared" si="29"/>
        <v>0</v>
      </c>
      <c r="AB57" s="293">
        <f t="shared" si="29"/>
        <v>0</v>
      </c>
      <c r="AC57" s="293">
        <f t="shared" si="29"/>
        <v>31</v>
      </c>
      <c r="AD57" s="293">
        <f t="shared" si="29"/>
        <v>0</v>
      </c>
      <c r="AE57" s="293">
        <f t="shared" si="29"/>
        <v>0</v>
      </c>
      <c r="AF57" s="293">
        <f t="shared" ref="AF57" si="30">AF54+AF55+AF56</f>
        <v>8669</v>
      </c>
      <c r="AG57" s="293">
        <f t="shared" ref="AG57" si="31">AG54+AG55+AG56</f>
        <v>0</v>
      </c>
      <c r="AH57" s="293">
        <f t="shared" ref="AH57" si="32">AH54+AH55+AH56</f>
        <v>0</v>
      </c>
      <c r="AL57" s="294">
        <f>AL54+AL55+AL56</f>
        <v>5.6993150684931511</v>
      </c>
      <c r="AM57" s="294">
        <f t="shared" ref="AM57:AN57" si="33">AM54+AM55+AM56</f>
        <v>0</v>
      </c>
      <c r="AN57" s="294">
        <f t="shared" si="33"/>
        <v>0</v>
      </c>
      <c r="AO57" s="294">
        <f t="shared" ref="AO57" si="34">AO54+AO55+AO56</f>
        <v>0</v>
      </c>
      <c r="AP57" s="294">
        <f t="shared" ref="AP57" si="35">AP54+AP55+AP56</f>
        <v>0</v>
      </c>
      <c r="AQ57" s="294">
        <f t="shared" ref="AQ57" si="36">AQ54+AQ55+AQ56</f>
        <v>0</v>
      </c>
      <c r="AR57" s="294">
        <f t="shared" ref="AR57" si="37">AR54+AR55+AR56</f>
        <v>0</v>
      </c>
      <c r="AS57" s="294">
        <f t="shared" ref="AS57" si="38">AS54+AS55+AS56</f>
        <v>0</v>
      </c>
      <c r="AT57" s="294">
        <f t="shared" ref="AT57" si="39">AT54+AT55+AT56</f>
        <v>0</v>
      </c>
      <c r="AU57" s="294">
        <f t="shared" ref="AU57" si="40">AU54+AU55+AU56</f>
        <v>88494</v>
      </c>
      <c r="AV57" s="294">
        <f t="shared" ref="AV57" si="41">AV54+AV55+AV56</f>
        <v>0</v>
      </c>
      <c r="AW57" s="294">
        <f t="shared" ref="AW57" si="42">AW54+AW55+AW56</f>
        <v>0</v>
      </c>
      <c r="AX57" s="294">
        <f t="shared" ref="AX57" si="43">AX54+AX55+AX56</f>
        <v>0</v>
      </c>
    </row>
    <row r="58" spans="1:50" x14ac:dyDescent="0.25">
      <c r="A58" s="291"/>
      <c r="AK58" s="74"/>
      <c r="AL58" s="289"/>
      <c r="AM58" s="262"/>
      <c r="AN58" s="262"/>
    </row>
    <row r="59" spans="1:50" x14ac:dyDescent="0.25">
      <c r="AM59" s="105"/>
    </row>
    <row r="60" spans="1:50" x14ac:dyDescent="0.25">
      <c r="A60" s="295" t="s">
        <v>511</v>
      </c>
      <c r="E60" s="296">
        <f t="shared" ref="E60:V60" si="44">SUMIFS(E$5:E$53, $D$5:$D$53, "EPS", $C$5:$C$53, "INF")</f>
        <v>115</v>
      </c>
      <c r="F60" s="296">
        <f t="shared" si="44"/>
        <v>30</v>
      </c>
      <c r="G60" s="296">
        <f t="shared" si="44"/>
        <v>0</v>
      </c>
      <c r="H60" s="296">
        <f t="shared" si="44"/>
        <v>0</v>
      </c>
      <c r="I60" s="296">
        <f t="shared" si="44"/>
        <v>16</v>
      </c>
      <c r="J60" s="296">
        <f t="shared" si="44"/>
        <v>0</v>
      </c>
      <c r="K60" s="296">
        <f t="shared" si="44"/>
        <v>27418</v>
      </c>
      <c r="L60" s="296">
        <f t="shared" si="44"/>
        <v>2760</v>
      </c>
      <c r="M60" s="296">
        <f t="shared" si="44"/>
        <v>0</v>
      </c>
      <c r="N60" s="296">
        <f t="shared" si="44"/>
        <v>0</v>
      </c>
      <c r="O60" s="296">
        <f t="shared" si="44"/>
        <v>4510</v>
      </c>
      <c r="P60" s="296">
        <f t="shared" si="44"/>
        <v>0</v>
      </c>
      <c r="Q60" s="297"/>
      <c r="R60" s="297"/>
      <c r="S60" s="297"/>
      <c r="T60" s="297"/>
      <c r="U60" s="297"/>
      <c r="V60" s="297"/>
      <c r="W60" s="296">
        <f>SUMIFS(W$5:W$53, $D$5:$D$53, "EPS", $C$5:$C$53, "INF")</f>
        <v>30.13150684931507</v>
      </c>
      <c r="X60" s="296">
        <f t="shared" ref="X60:AM63" si="45">SUMIFS(X$5:X$53, $D$5:$D$53, "EPS", $C$5:$C$53, "INF")</f>
        <v>19.43835616438356</v>
      </c>
      <c r="Y60" s="296">
        <f t="shared" si="45"/>
        <v>0</v>
      </c>
      <c r="Z60" s="296">
        <f t="shared" si="45"/>
        <v>0</v>
      </c>
      <c r="AA60" s="296">
        <f t="shared" si="45"/>
        <v>2.043835616438356</v>
      </c>
      <c r="AB60" s="296">
        <f t="shared" si="45"/>
        <v>0</v>
      </c>
      <c r="AC60" s="296">
        <f t="shared" si="45"/>
        <v>652</v>
      </c>
      <c r="AD60" s="296">
        <f t="shared" si="45"/>
        <v>2</v>
      </c>
      <c r="AE60" s="296">
        <f t="shared" si="45"/>
        <v>7</v>
      </c>
      <c r="AF60" s="296">
        <f t="shared" si="45"/>
        <v>67246</v>
      </c>
      <c r="AG60" s="296">
        <f t="shared" si="45"/>
        <v>172</v>
      </c>
      <c r="AH60" s="296">
        <f t="shared" si="45"/>
        <v>2331</v>
      </c>
      <c r="AI60" s="297"/>
      <c r="AJ60" s="297"/>
      <c r="AK60" s="297"/>
      <c r="AL60" s="296">
        <f t="shared" si="45"/>
        <v>435.16438356164383</v>
      </c>
      <c r="AM60" s="296">
        <f t="shared" si="45"/>
        <v>1.4287671232876713</v>
      </c>
      <c r="AN60" s="296">
        <f t="shared" ref="AN60:AX60" si="46">SUMIFS(AN$5:AN$53, $D$5:$D$53, "EPS", $C$5:$C$53, "INF")</f>
        <v>4.1904109589041099</v>
      </c>
      <c r="AO60" s="296">
        <f t="shared" si="46"/>
        <v>90</v>
      </c>
      <c r="AP60" s="296">
        <f t="shared" si="46"/>
        <v>40</v>
      </c>
      <c r="AQ60" s="296">
        <f t="shared" si="46"/>
        <v>35</v>
      </c>
      <c r="AR60" s="296">
        <f t="shared" si="46"/>
        <v>236295</v>
      </c>
      <c r="AS60" s="296">
        <f t="shared" si="46"/>
        <v>49045</v>
      </c>
      <c r="AT60" s="296">
        <f t="shared" si="46"/>
        <v>36024</v>
      </c>
      <c r="AU60" s="296">
        <f t="shared" si="46"/>
        <v>5374</v>
      </c>
      <c r="AV60" s="296">
        <f t="shared" si="46"/>
        <v>814</v>
      </c>
      <c r="AW60" s="296">
        <f t="shared" si="46"/>
        <v>21516</v>
      </c>
      <c r="AX60" s="296">
        <f t="shared" si="46"/>
        <v>2298</v>
      </c>
    </row>
    <row r="61" spans="1:50" x14ac:dyDescent="0.25">
      <c r="A61" s="295" t="s">
        <v>512</v>
      </c>
      <c r="E61" s="296">
        <f t="shared" ref="E61:V61" si="47">SUMIFS(E$5:E$53, $D$5:$D$53, "EBNL", $C$5:$C$53, "INF")</f>
        <v>32</v>
      </c>
      <c r="F61" s="296">
        <f t="shared" si="47"/>
        <v>6</v>
      </c>
      <c r="G61" s="296">
        <f t="shared" si="47"/>
        <v>0</v>
      </c>
      <c r="H61" s="296">
        <f t="shared" si="47"/>
        <v>0</v>
      </c>
      <c r="I61" s="296">
        <f t="shared" si="47"/>
        <v>0</v>
      </c>
      <c r="J61" s="296">
        <f t="shared" si="47"/>
        <v>0</v>
      </c>
      <c r="K61" s="296">
        <f t="shared" si="47"/>
        <v>7673</v>
      </c>
      <c r="L61" s="296">
        <f t="shared" si="47"/>
        <v>679</v>
      </c>
      <c r="M61" s="296">
        <f t="shared" si="47"/>
        <v>0</v>
      </c>
      <c r="N61" s="296">
        <f t="shared" si="47"/>
        <v>0</v>
      </c>
      <c r="O61" s="296">
        <f t="shared" si="47"/>
        <v>0</v>
      </c>
      <c r="P61" s="296">
        <f t="shared" si="47"/>
        <v>0</v>
      </c>
      <c r="Q61" s="297"/>
      <c r="R61" s="297"/>
      <c r="S61" s="297"/>
      <c r="T61" s="297"/>
      <c r="U61" s="297"/>
      <c r="V61" s="297"/>
      <c r="W61" s="296">
        <f>SUMIFS(W$5:W$53, $D$5:$D$53, "EBNL", $C$5:$C$53, "INF")</f>
        <v>7.7780821917808218</v>
      </c>
      <c r="X61" s="296">
        <f>SUMIFS(X$5:X$53, $D$5:$D$53, "EBNL", $C$5:$C$53, "INF")</f>
        <v>3.5397260273972604</v>
      </c>
      <c r="Y61" s="296">
        <f t="shared" ref="Y61:AX61" si="48">SUMIFS(Y$5:Y$53, $D$5:$D$53, "EBNL", $C$5:$C$53, "INF")</f>
        <v>0</v>
      </c>
      <c r="Z61" s="296">
        <f t="shared" si="48"/>
        <v>0</v>
      </c>
      <c r="AA61" s="296">
        <f t="shared" si="48"/>
        <v>0</v>
      </c>
      <c r="AB61" s="296">
        <f t="shared" si="48"/>
        <v>0</v>
      </c>
      <c r="AC61" s="296">
        <f t="shared" si="48"/>
        <v>110</v>
      </c>
      <c r="AD61" s="296">
        <f t="shared" si="48"/>
        <v>2</v>
      </c>
      <c r="AE61" s="296">
        <f t="shared" si="48"/>
        <v>2</v>
      </c>
      <c r="AF61" s="296">
        <f t="shared" si="48"/>
        <v>10757</v>
      </c>
      <c r="AG61" s="296">
        <f t="shared" si="48"/>
        <v>3</v>
      </c>
      <c r="AH61" s="296">
        <f t="shared" si="48"/>
        <v>210</v>
      </c>
      <c r="AI61" s="297"/>
      <c r="AJ61" s="297"/>
      <c r="AK61" s="297"/>
      <c r="AL61" s="296">
        <f t="shared" si="48"/>
        <v>75.028767123287679</v>
      </c>
      <c r="AM61" s="296">
        <f t="shared" si="48"/>
        <v>1.8917808219178083</v>
      </c>
      <c r="AN61" s="296">
        <f t="shared" si="48"/>
        <v>1.3246575342465752</v>
      </c>
      <c r="AO61" s="296">
        <f t="shared" si="48"/>
        <v>19</v>
      </c>
      <c r="AP61" s="296">
        <f t="shared" si="48"/>
        <v>4</v>
      </c>
      <c r="AQ61" s="296">
        <f t="shared" si="48"/>
        <v>10</v>
      </c>
      <c r="AR61" s="296">
        <f t="shared" si="48"/>
        <v>72759</v>
      </c>
      <c r="AS61" s="296">
        <f t="shared" si="48"/>
        <v>8247</v>
      </c>
      <c r="AT61" s="296">
        <f t="shared" si="48"/>
        <v>1812</v>
      </c>
      <c r="AU61" s="296">
        <f t="shared" si="48"/>
        <v>1647</v>
      </c>
      <c r="AV61" s="296">
        <f t="shared" si="48"/>
        <v>203</v>
      </c>
      <c r="AW61" s="296">
        <f t="shared" si="48"/>
        <v>388</v>
      </c>
      <c r="AX61" s="296">
        <f t="shared" si="48"/>
        <v>387</v>
      </c>
    </row>
    <row r="62" spans="1:50" x14ac:dyDescent="0.25">
      <c r="A62" s="295" t="s">
        <v>513</v>
      </c>
      <c r="E62" s="296">
        <f t="shared" ref="E62:V62" si="49">SUMIFS(E$5:E$53, $D$5:$D$53, "EBL", $C$5:$C$53, "INF")</f>
        <v>31</v>
      </c>
      <c r="F62" s="296">
        <f t="shared" si="49"/>
        <v>0</v>
      </c>
      <c r="G62" s="296">
        <f t="shared" si="49"/>
        <v>0</v>
      </c>
      <c r="H62" s="296">
        <f t="shared" si="49"/>
        <v>0</v>
      </c>
      <c r="I62" s="296">
        <f t="shared" si="49"/>
        <v>0</v>
      </c>
      <c r="J62" s="296">
        <f t="shared" si="49"/>
        <v>0</v>
      </c>
      <c r="K62" s="296">
        <f t="shared" si="49"/>
        <v>9981</v>
      </c>
      <c r="L62" s="296">
        <f t="shared" si="49"/>
        <v>0</v>
      </c>
      <c r="M62" s="296">
        <f t="shared" si="49"/>
        <v>0</v>
      </c>
      <c r="N62" s="296">
        <f t="shared" si="49"/>
        <v>0</v>
      </c>
      <c r="O62" s="296">
        <f t="shared" si="49"/>
        <v>0</v>
      </c>
      <c r="P62" s="296">
        <f t="shared" si="49"/>
        <v>0</v>
      </c>
      <c r="Q62" s="297"/>
      <c r="R62" s="297"/>
      <c r="S62" s="297"/>
      <c r="T62" s="297"/>
      <c r="U62" s="297"/>
      <c r="V62" s="297"/>
      <c r="W62" s="296">
        <f>SUMIFS(W$5:W$53, $D$5:$D$53, "EBL", $C$5:$C$53, "INF")</f>
        <v>2.3232876712328756</v>
      </c>
      <c r="X62" s="296">
        <f>SUMIFS(X$5:X$53, $D$5:$D$53, "EBL", $C$5:$C$53, "INF")</f>
        <v>0</v>
      </c>
      <c r="Y62" s="296">
        <f t="shared" ref="Y62:AX62" si="50">SUMIFS(Y$5:Y$53, $D$5:$D$53, "EBL", $C$5:$C$53, "INF")</f>
        <v>0</v>
      </c>
      <c r="Z62" s="296">
        <f t="shared" si="50"/>
        <v>0</v>
      </c>
      <c r="AA62" s="296">
        <f t="shared" si="50"/>
        <v>0</v>
      </c>
      <c r="AB62" s="296">
        <f t="shared" si="50"/>
        <v>0</v>
      </c>
      <c r="AC62" s="296">
        <f t="shared" si="50"/>
        <v>15</v>
      </c>
      <c r="AD62" s="296">
        <f t="shared" si="50"/>
        <v>0</v>
      </c>
      <c r="AE62" s="296">
        <f t="shared" si="50"/>
        <v>0</v>
      </c>
      <c r="AF62" s="296">
        <f t="shared" si="50"/>
        <v>1909</v>
      </c>
      <c r="AG62" s="296">
        <f t="shared" si="50"/>
        <v>0</v>
      </c>
      <c r="AH62" s="296">
        <f t="shared" si="50"/>
        <v>0</v>
      </c>
      <c r="AI62" s="297"/>
      <c r="AJ62" s="297"/>
      <c r="AK62" s="297"/>
      <c r="AL62" s="296">
        <f t="shared" si="50"/>
        <v>9.0198630136986306</v>
      </c>
      <c r="AM62" s="296">
        <f t="shared" si="50"/>
        <v>0</v>
      </c>
      <c r="AN62" s="296">
        <f t="shared" si="50"/>
        <v>0</v>
      </c>
      <c r="AO62" s="296">
        <f t="shared" si="50"/>
        <v>0</v>
      </c>
      <c r="AP62" s="296">
        <f t="shared" si="50"/>
        <v>0</v>
      </c>
      <c r="AQ62" s="296">
        <f t="shared" si="50"/>
        <v>0</v>
      </c>
      <c r="AR62" s="296">
        <f t="shared" si="50"/>
        <v>0</v>
      </c>
      <c r="AS62" s="296">
        <f t="shared" si="50"/>
        <v>0</v>
      </c>
      <c r="AT62" s="296">
        <f t="shared" si="50"/>
        <v>0</v>
      </c>
      <c r="AU62" s="296">
        <f t="shared" si="50"/>
        <v>0</v>
      </c>
      <c r="AV62" s="296">
        <f t="shared" si="50"/>
        <v>0</v>
      </c>
      <c r="AW62" s="296">
        <f t="shared" si="50"/>
        <v>0</v>
      </c>
      <c r="AX62" s="296">
        <f t="shared" si="50"/>
        <v>0</v>
      </c>
    </row>
    <row r="63" spans="1:50" x14ac:dyDescent="0.25">
      <c r="A63" s="295" t="s">
        <v>514</v>
      </c>
      <c r="E63" s="296">
        <f t="shared" ref="E63:V63" si="51">E60+E61+E62</f>
        <v>178</v>
      </c>
      <c r="F63" s="296">
        <f t="shared" si="51"/>
        <v>36</v>
      </c>
      <c r="G63" s="296">
        <f t="shared" si="51"/>
        <v>0</v>
      </c>
      <c r="H63" s="296">
        <f t="shared" si="51"/>
        <v>0</v>
      </c>
      <c r="I63" s="296">
        <f t="shared" si="51"/>
        <v>16</v>
      </c>
      <c r="J63" s="296">
        <f t="shared" si="51"/>
        <v>0</v>
      </c>
      <c r="K63" s="296">
        <f t="shared" si="51"/>
        <v>45072</v>
      </c>
      <c r="L63" s="296">
        <f t="shared" si="51"/>
        <v>3439</v>
      </c>
      <c r="M63" s="296">
        <f t="shared" si="51"/>
        <v>0</v>
      </c>
      <c r="N63" s="296">
        <f t="shared" si="51"/>
        <v>0</v>
      </c>
      <c r="O63" s="296">
        <f t="shared" si="51"/>
        <v>4510</v>
      </c>
      <c r="P63" s="296">
        <f t="shared" si="51"/>
        <v>0</v>
      </c>
      <c r="Q63" s="297"/>
      <c r="R63" s="297"/>
      <c r="S63" s="297"/>
      <c r="T63" s="297"/>
      <c r="U63" s="297"/>
      <c r="V63" s="297"/>
      <c r="W63" s="296">
        <f>W60+W61+W62</f>
        <v>40.232876712328768</v>
      </c>
      <c r="X63" s="296">
        <f>X60+X61+X62</f>
        <v>22.978082191780821</v>
      </c>
      <c r="Y63" s="296">
        <f t="shared" ref="Y63:AB63" si="52">Y60+Y61+Y62</f>
        <v>0</v>
      </c>
      <c r="Z63" s="296">
        <f t="shared" si="52"/>
        <v>0</v>
      </c>
      <c r="AA63" s="296">
        <f t="shared" si="52"/>
        <v>2.043835616438356</v>
      </c>
      <c r="AB63" s="296">
        <f t="shared" si="52"/>
        <v>0</v>
      </c>
      <c r="AC63" s="296">
        <f t="shared" ref="AC63" si="53">AC60+AC61+AC62</f>
        <v>777</v>
      </c>
      <c r="AD63" s="296">
        <f t="shared" ref="AD63" si="54">AD60+AD61+AD62</f>
        <v>4</v>
      </c>
      <c r="AE63" s="296">
        <f t="shared" ref="AE63" si="55">AE60+AE61+AE62</f>
        <v>9</v>
      </c>
      <c r="AF63" s="296">
        <f t="shared" ref="AF63" si="56">AF60+AF61+AF62</f>
        <v>79912</v>
      </c>
      <c r="AG63" s="296">
        <f t="shared" ref="AG63" si="57">AG60+AG61+AG62</f>
        <v>175</v>
      </c>
      <c r="AH63" s="296">
        <f t="shared" ref="AH63" si="58">AH60+AH61+AH62</f>
        <v>2541</v>
      </c>
      <c r="AI63" s="297"/>
      <c r="AJ63" s="297"/>
      <c r="AK63" s="297"/>
      <c r="AL63" s="296">
        <f t="shared" ref="AL63" si="59">AL60+AL61+AL62</f>
        <v>519.21301369863022</v>
      </c>
      <c r="AM63" s="296">
        <f t="shared" ref="AM63" si="60">AM60+AM61+AM62</f>
        <v>3.3205479452054796</v>
      </c>
      <c r="AN63" s="296">
        <f t="shared" ref="AN63" si="61">AN60+AN61+AN62</f>
        <v>5.515068493150685</v>
      </c>
      <c r="AO63" s="296">
        <f t="shared" ref="AO63" si="62">AO60+AO61+AO62</f>
        <v>109</v>
      </c>
      <c r="AP63" s="296">
        <f t="shared" ref="AP63" si="63">AP60+AP61+AP62</f>
        <v>44</v>
      </c>
      <c r="AQ63" s="296">
        <f t="shared" ref="AQ63" si="64">AQ60+AQ61+AQ62</f>
        <v>45</v>
      </c>
      <c r="AR63" s="296">
        <f t="shared" ref="AR63" si="65">AR60+AR61+AR62</f>
        <v>309054</v>
      </c>
      <c r="AS63" s="296">
        <f t="shared" ref="AS63" si="66">AS60+AS61+AS62</f>
        <v>57292</v>
      </c>
      <c r="AT63" s="296">
        <f t="shared" ref="AT63" si="67">AT60+AT61+AT62</f>
        <v>37836</v>
      </c>
      <c r="AU63" s="296">
        <f t="shared" ref="AU63" si="68">AU60+AU61+AU62</f>
        <v>7021</v>
      </c>
      <c r="AV63" s="296">
        <f t="shared" ref="AV63" si="69">AV60+AV61+AV62</f>
        <v>1017</v>
      </c>
      <c r="AW63" s="296">
        <f t="shared" ref="AW63" si="70">AW60+AW61+AW62</f>
        <v>21904</v>
      </c>
      <c r="AX63" s="296">
        <f t="shared" ref="AX63" si="71">AX60+AX61+AX62</f>
        <v>2685</v>
      </c>
    </row>
    <row r="64" spans="1:50" x14ac:dyDescent="0.25">
      <c r="G64" s="74" t="s">
        <v>523</v>
      </c>
      <c r="H64" s="74" t="s">
        <v>524</v>
      </c>
    </row>
    <row r="65" spans="1:28" x14ac:dyDescent="0.25">
      <c r="A65" s="310" t="s">
        <v>525</v>
      </c>
      <c r="B65" s="310"/>
      <c r="C65" s="310"/>
      <c r="D65" s="310"/>
      <c r="E65" s="310"/>
      <c r="F65" s="74" t="s">
        <v>342</v>
      </c>
      <c r="G65" s="105">
        <f>synthèse!G42/synthèse!C42</f>
        <v>0.15035175718977334</v>
      </c>
      <c r="H65" s="105">
        <f>synthèse!G46/synthèse!C46</f>
        <v>0.43782851902297787</v>
      </c>
    </row>
    <row r="66" spans="1:28" x14ac:dyDescent="0.25">
      <c r="A66" s="310"/>
      <c r="B66" s="310"/>
      <c r="C66" s="310"/>
      <c r="D66" s="310"/>
      <c r="E66" s="310"/>
      <c r="F66" s="74" t="s">
        <v>346</v>
      </c>
      <c r="G66" s="105">
        <f>synthèse!G43/synthèse!C43</f>
        <v>0.10502230866033635</v>
      </c>
      <c r="H66" s="105">
        <f>synthèse!G47/synthèse!C47</f>
        <v>0.20682138712521572</v>
      </c>
      <c r="V66" s="74"/>
      <c r="W66" s="289"/>
      <c r="X66" s="289"/>
      <c r="Y66" s="289"/>
      <c r="Z66" s="289"/>
      <c r="AA66" s="289"/>
      <c r="AB66" s="289"/>
    </row>
    <row r="67" spans="1:28" x14ac:dyDescent="0.25">
      <c r="A67" s="310"/>
      <c r="B67" s="310"/>
      <c r="C67" s="310"/>
      <c r="D67" s="310"/>
      <c r="E67" s="310"/>
      <c r="F67" s="74" t="s">
        <v>344</v>
      </c>
      <c r="G67" s="105">
        <f>synthèse!G44/synthèse!C44</f>
        <v>2.5419283284123424E-2</v>
      </c>
      <c r="H67" s="105">
        <f>synthèse!G48/synthèse!C48</f>
        <v>7.0322429058131214E-2</v>
      </c>
      <c r="Y67" s="290"/>
      <c r="Z67" s="290"/>
    </row>
    <row r="68" spans="1:28" x14ac:dyDescent="0.25">
      <c r="A68" s="310"/>
      <c r="B68" s="310"/>
      <c r="C68" s="310"/>
      <c r="D68" s="310"/>
      <c r="E68" s="310"/>
      <c r="F68" s="74" t="s">
        <v>61</v>
      </c>
      <c r="G68" s="105">
        <f>synthèse!G45/synthèse!C45</f>
        <v>0.12029627085600865</v>
      </c>
      <c r="H68" s="105">
        <f>synthèse!G49/synthèse!C49</f>
        <v>0.34893012852397709</v>
      </c>
    </row>
  </sheetData>
  <autoFilter ref="A4:AX58" xr:uid="{7FB23DB5-F32B-462E-8172-7C8343C8CDC6}"/>
  <mergeCells count="15">
    <mergeCell ref="A65:E68"/>
    <mergeCell ref="AO2:AX2"/>
    <mergeCell ref="AO3:AQ3"/>
    <mergeCell ref="AR3:AX3"/>
    <mergeCell ref="W66:AB66"/>
    <mergeCell ref="AL58:AN58"/>
    <mergeCell ref="Y67:Z67"/>
    <mergeCell ref="E2:AB2"/>
    <mergeCell ref="AC2:AN2"/>
    <mergeCell ref="E3:J3"/>
    <mergeCell ref="K3:V3"/>
    <mergeCell ref="W3:AB3"/>
    <mergeCell ref="AC3:AE3"/>
    <mergeCell ref="AF3:AK3"/>
    <mergeCell ref="AL3:AN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40704-BED5-4533-BE6F-1B8D95450C11}">
  <sheetPr codeName="Feuil7"/>
  <dimension ref="A2:O76"/>
  <sheetViews>
    <sheetView tabSelected="1" workbookViewId="0">
      <selection activeCell="E75" sqref="E75"/>
    </sheetView>
  </sheetViews>
  <sheetFormatPr baseColWidth="10" defaultRowHeight="15" x14ac:dyDescent="0.25"/>
  <cols>
    <col min="1" max="1" width="24" customWidth="1"/>
    <col min="2" max="2" width="17.28515625" customWidth="1"/>
    <col min="5" max="5" width="23.42578125" customWidth="1"/>
    <col min="6" max="6" width="14.85546875" customWidth="1"/>
    <col min="7" max="7" width="15.85546875" bestFit="1" customWidth="1"/>
    <col min="9" max="9" width="25.140625" customWidth="1"/>
    <col min="10" max="10" width="14" customWidth="1"/>
    <col min="13" max="13" width="23.42578125" customWidth="1"/>
  </cols>
  <sheetData>
    <row r="2" spans="1:14" ht="15.75" x14ac:dyDescent="0.25">
      <c r="A2" s="250" t="s">
        <v>484</v>
      </c>
      <c r="B2" s="250"/>
      <c r="C2" s="250"/>
      <c r="D2" s="250"/>
      <c r="E2" s="250"/>
      <c r="F2" s="250"/>
      <c r="G2" s="250"/>
      <c r="H2" s="250"/>
      <c r="I2" s="250"/>
      <c r="J2" s="250"/>
      <c r="K2" s="250"/>
      <c r="L2" s="210"/>
      <c r="M2" s="210"/>
      <c r="N2" s="210"/>
    </row>
    <row r="3" spans="1:14" x14ac:dyDescent="0.25">
      <c r="A3" s="161"/>
      <c r="B3" s="160"/>
      <c r="C3" s="160"/>
    </row>
    <row r="4" spans="1:14" x14ac:dyDescent="0.25">
      <c r="A4" s="161"/>
      <c r="B4" s="160"/>
      <c r="C4" s="160"/>
      <c r="E4" s="251" t="s">
        <v>486</v>
      </c>
      <c r="F4" s="162" t="s">
        <v>463</v>
      </c>
      <c r="G4" s="193">
        <v>0.9</v>
      </c>
      <c r="H4" s="257" t="s">
        <v>487</v>
      </c>
      <c r="I4" s="258"/>
      <c r="J4" s="194" t="s">
        <v>462</v>
      </c>
      <c r="K4" s="195">
        <v>0.9</v>
      </c>
    </row>
    <row r="5" spans="1:14" x14ac:dyDescent="0.25">
      <c r="A5" s="161"/>
      <c r="B5" s="160"/>
      <c r="C5" s="160"/>
      <c r="E5" s="252"/>
      <c r="F5" s="162" t="s">
        <v>464</v>
      </c>
      <c r="G5" s="193">
        <v>0.95</v>
      </c>
      <c r="H5" s="258"/>
      <c r="I5" s="258"/>
      <c r="J5" s="194" t="s">
        <v>485</v>
      </c>
      <c r="K5" s="196">
        <f>25%*K4</f>
        <v>0.22500000000000001</v>
      </c>
    </row>
    <row r="6" spans="1:14" x14ac:dyDescent="0.25">
      <c r="A6" s="161"/>
      <c r="B6" s="160"/>
      <c r="C6" s="160"/>
      <c r="E6" s="298"/>
      <c r="F6" s="299"/>
      <c r="G6" s="300"/>
      <c r="H6" s="301"/>
      <c r="I6" s="301"/>
      <c r="J6" s="291"/>
      <c r="K6" s="302"/>
    </row>
    <row r="7" spans="1:14" x14ac:dyDescent="0.25">
      <c r="A7" s="161"/>
      <c r="B7" s="163" t="s">
        <v>304</v>
      </c>
      <c r="C7" s="160"/>
      <c r="F7" s="309" t="s">
        <v>519</v>
      </c>
      <c r="J7" s="309" t="s">
        <v>520</v>
      </c>
      <c r="M7" s="253"/>
      <c r="N7" s="253"/>
    </row>
    <row r="8" spans="1:14" x14ac:dyDescent="0.25">
      <c r="M8" s="253"/>
      <c r="N8" s="253"/>
    </row>
    <row r="9" spans="1:14" x14ac:dyDescent="0.25">
      <c r="A9" s="164" t="s">
        <v>465</v>
      </c>
      <c r="B9" s="164" t="s">
        <v>466</v>
      </c>
      <c r="C9" s="164" t="s">
        <v>467</v>
      </c>
      <c r="E9" s="164" t="s">
        <v>465</v>
      </c>
      <c r="F9" s="164" t="s">
        <v>466</v>
      </c>
      <c r="G9" s="164" t="s">
        <v>467</v>
      </c>
      <c r="I9" s="164" t="s">
        <v>465</v>
      </c>
      <c r="J9" s="164" t="s">
        <v>466</v>
      </c>
      <c r="K9" s="164" t="s">
        <v>467</v>
      </c>
      <c r="M9" s="197"/>
      <c r="N9" s="197"/>
    </row>
    <row r="10" spans="1:14" x14ac:dyDescent="0.25">
      <c r="A10" s="165" t="s">
        <v>468</v>
      </c>
      <c r="B10" s="165" t="s">
        <v>471</v>
      </c>
      <c r="C10" s="166">
        <f>base!O66+base!P66+base!Q66+base!R66+base!S66+base!T66</f>
        <v>779928</v>
      </c>
      <c r="E10" s="165" t="s">
        <v>468</v>
      </c>
      <c r="F10" s="165" t="s">
        <v>471</v>
      </c>
      <c r="G10" s="166">
        <f>infpen!K60+infpen!L60+infpen!M60+infpen!N60+infpen!O60+infpen!P60</f>
        <v>34688</v>
      </c>
      <c r="I10" s="165" t="s">
        <v>468</v>
      </c>
      <c r="J10" s="165" t="s">
        <v>471</v>
      </c>
      <c r="K10" s="166">
        <f>infpen!K54+infpen!L54+infpen!M54+infpen!N54+infpen!O54+infpen!P54</f>
        <v>13948</v>
      </c>
      <c r="M10" s="197"/>
      <c r="N10" s="198"/>
    </row>
    <row r="11" spans="1:14" x14ac:dyDescent="0.25">
      <c r="A11" s="167"/>
      <c r="B11" s="167" t="s">
        <v>470</v>
      </c>
      <c r="C11" s="168">
        <f>base!O67+base!P67+base!Q67+base!R67+base!S67+base!T67</f>
        <v>267824</v>
      </c>
      <c r="E11" s="167"/>
      <c r="F11" s="167" t="s">
        <v>470</v>
      </c>
      <c r="G11" s="168">
        <f>infpen!K61+infpen!L61+infpen!M61+infpen!N61+infpen!O61+infpen!P61</f>
        <v>8352</v>
      </c>
      <c r="I11" s="167"/>
      <c r="J11" s="167" t="s">
        <v>470</v>
      </c>
      <c r="K11" s="168">
        <f>infpen!K55+infpen!L55+infpen!M55+infpen!N55+infpen!O55+infpen!P55</f>
        <v>0</v>
      </c>
      <c r="N11" s="198"/>
    </row>
    <row r="12" spans="1:14" x14ac:dyDescent="0.25">
      <c r="A12" s="167"/>
      <c r="B12" s="167" t="s">
        <v>469</v>
      </c>
      <c r="C12" s="168">
        <f>base!O68+base!P68+base!Q68+base!R68+base!S68+base!T68</f>
        <v>1105189</v>
      </c>
      <c r="E12" s="167"/>
      <c r="F12" s="167" t="s">
        <v>469</v>
      </c>
      <c r="G12" s="168">
        <f>infpen!K62+infpen!L62+infpen!M62+infpen!N62+infpen!O62+infpen!P62</f>
        <v>9981</v>
      </c>
      <c r="I12" s="167"/>
      <c r="J12" s="167" t="s">
        <v>469</v>
      </c>
      <c r="K12" s="168">
        <f>infpen!K56+infpen!L56+infpen!M56+infpen!N56+infpen!O56+infpen!P56</f>
        <v>0</v>
      </c>
      <c r="N12" s="198"/>
    </row>
    <row r="13" spans="1:14" x14ac:dyDescent="0.25">
      <c r="A13" s="170"/>
      <c r="B13" s="170" t="s">
        <v>304</v>
      </c>
      <c r="C13" s="171">
        <f>C10+C11+C12</f>
        <v>2152941</v>
      </c>
      <c r="E13" s="170"/>
      <c r="F13" s="170" t="s">
        <v>304</v>
      </c>
      <c r="G13" s="171">
        <f>G10+G11+G12</f>
        <v>53021</v>
      </c>
      <c r="I13" s="170"/>
      <c r="J13" s="170" t="s">
        <v>304</v>
      </c>
      <c r="K13" s="171">
        <f>K10+K11+K12</f>
        <v>13948</v>
      </c>
      <c r="N13" s="198"/>
    </row>
    <row r="14" spans="1:14" x14ac:dyDescent="0.25">
      <c r="A14" s="167" t="s">
        <v>472</v>
      </c>
      <c r="B14" s="165" t="s">
        <v>471</v>
      </c>
      <c r="C14" s="168">
        <f>base!AJ66+base!AK66+base!AL66</f>
        <v>239979</v>
      </c>
      <c r="E14" s="167" t="s">
        <v>472</v>
      </c>
      <c r="F14" s="165" t="s">
        <v>471</v>
      </c>
      <c r="G14" s="168">
        <f>infpen!AF60+infpen!AG60+infpen!AH60</f>
        <v>69749</v>
      </c>
      <c r="I14" s="167" t="s">
        <v>472</v>
      </c>
      <c r="J14" s="165" t="s">
        <v>471</v>
      </c>
      <c r="K14" s="168">
        <f>infpen!AF54+infpen!AG54+infpen!AH54</f>
        <v>8669</v>
      </c>
      <c r="M14" s="197"/>
      <c r="N14" s="198"/>
    </row>
    <row r="15" spans="1:14" x14ac:dyDescent="0.25">
      <c r="A15" s="167"/>
      <c r="B15" s="167" t="s">
        <v>470</v>
      </c>
      <c r="C15" s="168">
        <f>base!AJ67+base!AK67+base!AL67</f>
        <v>103084</v>
      </c>
      <c r="E15" s="167"/>
      <c r="F15" s="167" t="s">
        <v>470</v>
      </c>
      <c r="G15" s="168">
        <f>infpen!AF61+infpen!AG61+infpen!AH61</f>
        <v>10970</v>
      </c>
      <c r="I15" s="167"/>
      <c r="J15" s="167" t="s">
        <v>470</v>
      </c>
      <c r="K15" s="168">
        <f>infpen!AF55+infpen!AG55+infpen!AH55</f>
        <v>0</v>
      </c>
      <c r="N15" s="198"/>
    </row>
    <row r="16" spans="1:14" x14ac:dyDescent="0.25">
      <c r="A16" s="167"/>
      <c r="B16" s="167" t="s">
        <v>469</v>
      </c>
      <c r="C16" s="168">
        <f>base!AJ68+base!AK68+base!AL68</f>
        <v>107024</v>
      </c>
      <c r="E16" s="167"/>
      <c r="F16" s="167" t="s">
        <v>469</v>
      </c>
      <c r="G16" s="168">
        <f>infpen!AF62+infpen!AG62+infpen!AH62</f>
        <v>1909</v>
      </c>
      <c r="I16" s="167"/>
      <c r="J16" s="167" t="s">
        <v>469</v>
      </c>
      <c r="K16" s="168">
        <f>infpen!AF56+infpen!AG56+infpen!AH56</f>
        <v>0</v>
      </c>
      <c r="N16" s="198"/>
    </row>
    <row r="17" spans="1:14" x14ac:dyDescent="0.25">
      <c r="A17" s="170"/>
      <c r="B17" s="170" t="s">
        <v>304</v>
      </c>
      <c r="C17" s="171">
        <f>C14 + C15 + C16</f>
        <v>450087</v>
      </c>
      <c r="E17" s="170"/>
      <c r="F17" s="170" t="s">
        <v>304</v>
      </c>
      <c r="G17" s="171">
        <f>G14 + G15 + G16</f>
        <v>82628</v>
      </c>
      <c r="I17" s="170"/>
      <c r="J17" s="170" t="s">
        <v>304</v>
      </c>
      <c r="K17" s="171">
        <f>K14 + K15 + K16</f>
        <v>8669</v>
      </c>
      <c r="N17" s="198"/>
    </row>
    <row r="18" spans="1:14" x14ac:dyDescent="0.25">
      <c r="A18" s="205" t="s">
        <v>491</v>
      </c>
      <c r="B18" s="165" t="s">
        <v>471</v>
      </c>
      <c r="C18" s="168">
        <f>base!AV66+base!AW66+base!AX66+base!AY66+base!AZ66+base!BA66+base!BB66</f>
        <v>1556660</v>
      </c>
      <c r="E18" s="205" t="s">
        <v>491</v>
      </c>
      <c r="F18" s="165" t="s">
        <v>471</v>
      </c>
      <c r="G18" s="168">
        <f>infpen!AR60+infpen!AS60+infpen!AT60+infpen!AU60+infpen!AV60+infpen!AW60+infpen!AX60</f>
        <v>351366</v>
      </c>
      <c r="I18" s="205" t="s">
        <v>491</v>
      </c>
      <c r="J18" s="165" t="s">
        <v>471</v>
      </c>
      <c r="K18" s="168">
        <f>infpen!AR54+infpen!AS54+infpen!AT54+infpen!AU54+infpen!AV54+infpen!AW54+infpen!AX54</f>
        <v>86157</v>
      </c>
      <c r="N18" s="198"/>
    </row>
    <row r="19" spans="1:14" x14ac:dyDescent="0.25">
      <c r="A19" s="167"/>
      <c r="B19" s="167" t="s">
        <v>470</v>
      </c>
      <c r="C19" s="168">
        <f>base!AV67+base!AW67+base!AX67+base!AY67+base!AZ67+base!BA67+base!BB67</f>
        <v>476284</v>
      </c>
      <c r="E19" s="167"/>
      <c r="F19" s="167" t="s">
        <v>470</v>
      </c>
      <c r="G19" s="168">
        <f>infpen!AR61+infpen!AS61+infpen!AT61+infpen!AU61+infpen!AV61+infpen!AW61+infpen!AX61</f>
        <v>85443</v>
      </c>
      <c r="I19" s="167"/>
      <c r="J19" s="167" t="s">
        <v>470</v>
      </c>
      <c r="K19" s="168">
        <f>infpen!AR55+infpen!AS55+infpen!AT55+infpen!AU55+infpen!AV55+infpen!AW55+infpen!AX55</f>
        <v>2337</v>
      </c>
      <c r="N19" s="198"/>
    </row>
    <row r="20" spans="1:14" x14ac:dyDescent="0.25">
      <c r="A20" s="167"/>
      <c r="B20" s="167" t="s">
        <v>469</v>
      </c>
      <c r="C20" s="168">
        <f>base!AV68+base!AW68+base!AX68+base!AY68+base!AZ68+base!BA68+base!BB68</f>
        <v>0</v>
      </c>
      <c r="E20" s="167"/>
      <c r="F20" s="167" t="s">
        <v>469</v>
      </c>
      <c r="G20" s="168">
        <f>infpen!AR62+infpen!AS62+infpen!AT62+infpen!AU62+infpen!AV62+infpen!AW62+infpen!AX62</f>
        <v>0</v>
      </c>
      <c r="I20" s="167"/>
      <c r="J20" s="167" t="s">
        <v>469</v>
      </c>
      <c r="K20" s="168">
        <f>infpen!AR56+infpen!AS56+infpen!AT56+infpen!AU56+infpen!AV56+infpen!AW56+infpen!AX56</f>
        <v>0</v>
      </c>
      <c r="N20" s="198"/>
    </row>
    <row r="21" spans="1:14" x14ac:dyDescent="0.25">
      <c r="A21" s="170"/>
      <c r="B21" s="170" t="s">
        <v>304</v>
      </c>
      <c r="C21" s="171">
        <f>C18+C19+C20</f>
        <v>2032944</v>
      </c>
      <c r="E21" s="170"/>
      <c r="F21" s="170" t="s">
        <v>304</v>
      </c>
      <c r="G21" s="171">
        <f>G18+G19+G20</f>
        <v>436809</v>
      </c>
      <c r="I21" s="170"/>
      <c r="J21" s="170" t="s">
        <v>304</v>
      </c>
      <c r="K21" s="171">
        <f>K18+K19+K20</f>
        <v>88494</v>
      </c>
      <c r="N21" s="198"/>
    </row>
    <row r="22" spans="1:14" x14ac:dyDescent="0.25">
      <c r="A22" s="167" t="s">
        <v>488</v>
      </c>
      <c r="B22" s="167" t="s">
        <v>471</v>
      </c>
      <c r="C22" s="168">
        <f>base!I66+base!J66+base!K66+base!L66+base!M66+base!N66</f>
        <v>2709</v>
      </c>
      <c r="E22" s="303"/>
      <c r="F22" s="197"/>
      <c r="G22" s="305"/>
      <c r="I22" s="303"/>
      <c r="J22" s="197"/>
      <c r="K22" s="305"/>
      <c r="M22" s="197"/>
      <c r="N22" s="198"/>
    </row>
    <row r="23" spans="1:14" x14ac:dyDescent="0.25">
      <c r="A23" s="167"/>
      <c r="B23" s="167" t="s">
        <v>470</v>
      </c>
      <c r="C23" s="168">
        <f>base!I67+ base!J67+base!K67+base!L67+base!M67+base!N67</f>
        <v>935</v>
      </c>
      <c r="E23" s="169"/>
      <c r="F23" s="197"/>
      <c r="G23" s="306"/>
      <c r="I23" s="169"/>
      <c r="J23" s="197"/>
      <c r="K23" s="306"/>
      <c r="M23" s="199"/>
      <c r="N23" s="198"/>
    </row>
    <row r="24" spans="1:14" x14ac:dyDescent="0.25">
      <c r="A24" s="167"/>
      <c r="B24" s="167" t="s">
        <v>469</v>
      </c>
      <c r="C24" s="168">
        <f>base!I68+base!J68+base!K68+base!L68+base!M68+base!N68</f>
        <v>3276</v>
      </c>
      <c r="E24" s="169"/>
      <c r="F24" s="197"/>
      <c r="G24" s="306"/>
      <c r="I24" s="169"/>
      <c r="J24" s="197"/>
      <c r="K24" s="306"/>
      <c r="M24" s="199"/>
      <c r="N24" s="198"/>
    </row>
    <row r="25" spans="1:14" x14ac:dyDescent="0.25">
      <c r="A25" s="170"/>
      <c r="B25" s="170" t="s">
        <v>304</v>
      </c>
      <c r="C25" s="171">
        <f>C22+C23+C24</f>
        <v>6920</v>
      </c>
      <c r="E25" s="169"/>
      <c r="F25" s="197"/>
      <c r="G25" s="306"/>
      <c r="I25" s="169"/>
      <c r="J25" s="197"/>
      <c r="K25" s="306"/>
      <c r="M25" s="199"/>
      <c r="N25" s="198"/>
    </row>
    <row r="26" spans="1:14" x14ac:dyDescent="0.25">
      <c r="A26" s="167" t="s">
        <v>489</v>
      </c>
      <c r="B26" s="165" t="s">
        <v>471</v>
      </c>
      <c r="C26" s="168">
        <f>base!AG66+base!AH66+base!AI66</f>
        <v>1745</v>
      </c>
      <c r="E26" s="169"/>
      <c r="F26" s="197"/>
      <c r="G26" s="306"/>
      <c r="I26" s="169"/>
      <c r="J26" s="197"/>
      <c r="K26" s="306"/>
      <c r="M26" s="197"/>
      <c r="N26" s="198"/>
    </row>
    <row r="27" spans="1:14" x14ac:dyDescent="0.25">
      <c r="A27" s="167"/>
      <c r="B27" s="167" t="s">
        <v>470</v>
      </c>
      <c r="C27" s="168">
        <f>base!AG67+base!AH67+base!AI67</f>
        <v>691</v>
      </c>
      <c r="E27" s="169"/>
      <c r="F27" s="197"/>
      <c r="G27" s="306"/>
      <c r="I27" s="169"/>
      <c r="J27" s="197"/>
      <c r="K27" s="306"/>
      <c r="M27" s="199"/>
      <c r="N27" s="198"/>
    </row>
    <row r="28" spans="1:14" x14ac:dyDescent="0.25">
      <c r="A28" s="167"/>
      <c r="B28" s="167" t="s">
        <v>469</v>
      </c>
      <c r="C28" s="168">
        <f>base!AG68+base!AH68+base!AI68</f>
        <v>365</v>
      </c>
      <c r="E28" s="169"/>
      <c r="F28" s="197"/>
      <c r="G28" s="306"/>
      <c r="I28" s="169"/>
      <c r="J28" s="197"/>
      <c r="K28" s="306"/>
      <c r="M28" s="199"/>
      <c r="N28" s="198"/>
    </row>
    <row r="29" spans="1:14" x14ac:dyDescent="0.25">
      <c r="A29" s="170"/>
      <c r="B29" s="170" t="s">
        <v>304</v>
      </c>
      <c r="C29" s="171">
        <f>C26+C27+C28</f>
        <v>2801</v>
      </c>
      <c r="E29" s="169"/>
      <c r="F29" s="197"/>
      <c r="G29" s="306"/>
      <c r="I29" s="169"/>
      <c r="J29" s="197"/>
      <c r="K29" s="306"/>
      <c r="M29" s="199"/>
      <c r="N29" s="198"/>
    </row>
    <row r="30" spans="1:14" x14ac:dyDescent="0.25">
      <c r="A30" s="167" t="s">
        <v>490</v>
      </c>
      <c r="B30" s="165" t="s">
        <v>471</v>
      </c>
      <c r="C30" s="168">
        <f>base!AS66+base!AT66+base!AU66</f>
        <v>430</v>
      </c>
      <c r="E30" s="169"/>
      <c r="F30" s="197"/>
      <c r="G30" s="306"/>
      <c r="I30" s="169"/>
      <c r="J30" s="197"/>
      <c r="K30" s="306"/>
      <c r="M30" s="199"/>
      <c r="N30" s="198"/>
    </row>
    <row r="31" spans="1:14" x14ac:dyDescent="0.25">
      <c r="A31" s="167"/>
      <c r="B31" s="167" t="s">
        <v>470</v>
      </c>
      <c r="C31" s="168">
        <f>base!AS67+base!AT67+base!AU67</f>
        <v>148</v>
      </c>
      <c r="E31" s="169"/>
      <c r="F31" s="197"/>
      <c r="G31" s="306"/>
      <c r="I31" s="169"/>
      <c r="J31" s="197"/>
      <c r="K31" s="306"/>
      <c r="M31" s="199"/>
      <c r="N31" s="198"/>
    </row>
    <row r="32" spans="1:14" x14ac:dyDescent="0.25">
      <c r="A32" s="167"/>
      <c r="B32" s="167" t="s">
        <v>469</v>
      </c>
      <c r="C32" s="168">
        <f>base!AS68+base!AT68+base!AU68</f>
        <v>0</v>
      </c>
      <c r="E32" s="169"/>
      <c r="F32" s="197"/>
      <c r="G32" s="306"/>
      <c r="I32" s="169"/>
      <c r="J32" s="197"/>
      <c r="K32" s="306"/>
      <c r="M32" s="199"/>
      <c r="N32" s="198"/>
    </row>
    <row r="33" spans="1:14" x14ac:dyDescent="0.25">
      <c r="A33" s="170"/>
      <c r="B33" s="170" t="s">
        <v>304</v>
      </c>
      <c r="C33" s="171">
        <f>C30+C31+C32</f>
        <v>578</v>
      </c>
      <c r="E33" s="304"/>
      <c r="F33" s="197"/>
      <c r="G33" s="307"/>
      <c r="I33" s="304"/>
      <c r="J33" s="197"/>
      <c r="K33" s="307"/>
      <c r="M33" s="199"/>
      <c r="N33" s="198"/>
    </row>
    <row r="34" spans="1:14" x14ac:dyDescent="0.25">
      <c r="A34" s="167" t="s">
        <v>473</v>
      </c>
      <c r="B34" s="167" t="s">
        <v>471</v>
      </c>
      <c r="C34" s="172">
        <f>base!U66</f>
        <v>0.83051238705916641</v>
      </c>
      <c r="E34" s="165" t="s">
        <v>473</v>
      </c>
      <c r="F34" s="165" t="s">
        <v>471</v>
      </c>
      <c r="G34" s="173">
        <f>G10/((infpen!E60+infpen!F60+infpen!G60+infpen!H60+infpen!I60+infpen!J60)*365)</f>
        <v>0.59028333191525573</v>
      </c>
      <c r="I34" s="165" t="s">
        <v>473</v>
      </c>
      <c r="J34" s="165" t="s">
        <v>471</v>
      </c>
      <c r="K34" s="173">
        <f>synthèse!K10/((infpen!E54+infpen!F54+infpen!G54+infpen!H54+infpen!I54+infpen!J54)*365)</f>
        <v>0.95534246575342463</v>
      </c>
      <c r="M34" s="197"/>
      <c r="N34" s="200"/>
    </row>
    <row r="35" spans="1:14" x14ac:dyDescent="0.25">
      <c r="A35" s="167"/>
      <c r="B35" s="167" t="s">
        <v>470</v>
      </c>
      <c r="C35" s="172">
        <f>base!U67</f>
        <v>0.79537128669896007</v>
      </c>
      <c r="E35" s="167"/>
      <c r="F35" s="167" t="s">
        <v>470</v>
      </c>
      <c r="G35" s="172">
        <f>G11/((infpen!E61+infpen!F61+infpen!G61+infpen!H61+infpen!I61+infpen!J61)*365)</f>
        <v>0.60216294160057682</v>
      </c>
      <c r="I35" s="167"/>
      <c r="J35" s="167" t="s">
        <v>470</v>
      </c>
      <c r="K35" s="172" t="e">
        <f>K15/((infpen!F55+infpen!E55+infpen!G55+infpen!H55+infpen!I55+infpen!J55)*365)</f>
        <v>#DIV/0!</v>
      </c>
      <c r="N35" s="200"/>
    </row>
    <row r="36" spans="1:14" x14ac:dyDescent="0.25">
      <c r="A36" s="167"/>
      <c r="B36" s="167" t="s">
        <v>469</v>
      </c>
      <c r="C36" s="172">
        <f>base!U68</f>
        <v>0.92494678119499807</v>
      </c>
      <c r="E36" s="167"/>
      <c r="F36" s="167" t="s">
        <v>469</v>
      </c>
      <c r="G36" s="172">
        <f>G12/((infpen!E62+infpen!F62+infpen!G62+infpen!I62+infpen!H62+infpen!J62+infpen!L62)*365)</f>
        <v>0.88210340256296949</v>
      </c>
      <c r="I36" s="167"/>
      <c r="J36" s="167" t="s">
        <v>469</v>
      </c>
      <c r="K36" s="172" t="e">
        <f>K12/((infpen!F56+infpen!E56+infpen!G56+infpen!H56+infpen!I56+infpen!J56)*365)</f>
        <v>#DIV/0!</v>
      </c>
      <c r="N36" s="200"/>
    </row>
    <row r="37" spans="1:14" x14ac:dyDescent="0.25">
      <c r="A37" s="167"/>
      <c r="B37" s="170" t="s">
        <v>304</v>
      </c>
      <c r="C37" s="172">
        <f>base!U69</f>
        <v>0.87316468992078433</v>
      </c>
      <c r="E37" s="167"/>
      <c r="F37" s="170" t="s">
        <v>304</v>
      </c>
      <c r="G37" s="172">
        <f>G13/((infpen!E63+infpen!F63+infpen!G63+infpen!H63+infpen!I63+infpen!J63)*365)</f>
        <v>0.63157832042882667</v>
      </c>
      <c r="I37" s="167"/>
      <c r="J37" s="170" t="s">
        <v>304</v>
      </c>
      <c r="K37" s="172">
        <f>synthèse!K13/((infpen!E57+infpen!F57+infpen!G57+infpen!H57+infpen!I57+infpen!J57)*365)</f>
        <v>0.95534246575342463</v>
      </c>
      <c r="N37" s="200"/>
    </row>
    <row r="38" spans="1:14" x14ac:dyDescent="0.25">
      <c r="A38" s="165" t="s">
        <v>492</v>
      </c>
      <c r="B38" s="165" t="s">
        <v>471</v>
      </c>
      <c r="C38" s="173">
        <f>base!AM66</f>
        <v>0.37593763646067507</v>
      </c>
      <c r="E38" s="165" t="s">
        <v>492</v>
      </c>
      <c r="F38" s="165" t="s">
        <v>471</v>
      </c>
      <c r="G38" s="173">
        <f>G14/((infpen!AC60+infpen!AD60+infpen!AE60)*365)</f>
        <v>0.28909705096056204</v>
      </c>
      <c r="I38" s="165" t="s">
        <v>492</v>
      </c>
      <c r="J38" s="165" t="s">
        <v>471</v>
      </c>
      <c r="K38" s="173">
        <f>K14/((infpen!AC54+infpen!AD54+infpen!AE54)*365)</f>
        <v>0.76615112682280162</v>
      </c>
      <c r="M38" s="197"/>
      <c r="N38" s="200"/>
    </row>
    <row r="39" spans="1:14" x14ac:dyDescent="0.25">
      <c r="A39" s="174"/>
      <c r="B39" s="167" t="s">
        <v>470</v>
      </c>
      <c r="C39" s="172">
        <f>base!AM67</f>
        <v>0.41997546514005318</v>
      </c>
      <c r="E39" s="174"/>
      <c r="F39" s="167" t="s">
        <v>470</v>
      </c>
      <c r="G39" s="172">
        <f>G15/((infpen!AC61+infpen!AD61+infpen!AE61)*365)</f>
        <v>0.26363854842585915</v>
      </c>
      <c r="I39" s="174"/>
      <c r="J39" s="167" t="s">
        <v>470</v>
      </c>
      <c r="K39" s="172" t="e">
        <f>K15/((infpen!AC55+infpen!AD55+infpen!AE55)*365)</f>
        <v>#DIV/0!</v>
      </c>
      <c r="N39" s="200"/>
    </row>
    <row r="40" spans="1:14" x14ac:dyDescent="0.25">
      <c r="A40" s="174"/>
      <c r="B40" s="167" t="s">
        <v>469</v>
      </c>
      <c r="C40" s="172">
        <f>base!AM68</f>
        <v>0.79777961764263139</v>
      </c>
      <c r="E40" s="174"/>
      <c r="F40" s="167" t="s">
        <v>469</v>
      </c>
      <c r="G40" s="172">
        <f>G16/((infpen!AC62+infpen!AD62+infpen!AE62)*365)</f>
        <v>0.348675799086758</v>
      </c>
      <c r="I40" s="174"/>
      <c r="J40" s="167" t="s">
        <v>469</v>
      </c>
      <c r="K40" s="172" t="e">
        <f>K16/((infpen!AC56+infpen!AD56+infpen!AE56)*365)</f>
        <v>#DIV/0!</v>
      </c>
      <c r="N40" s="200"/>
    </row>
    <row r="41" spans="1:14" x14ac:dyDescent="0.25">
      <c r="A41" s="170"/>
      <c r="B41" s="167" t="s">
        <v>304</v>
      </c>
      <c r="C41" s="175">
        <f>base!AM69</f>
        <v>0.44304021210782146</v>
      </c>
      <c r="E41" s="170"/>
      <c r="F41" s="167" t="s">
        <v>304</v>
      </c>
      <c r="G41" s="175">
        <f>G17/((infpen!AC63+infpen!AD63+infpen!AE63)*365)</f>
        <v>0.28655453441997575</v>
      </c>
      <c r="I41" s="170"/>
      <c r="J41" s="167" t="s">
        <v>304</v>
      </c>
      <c r="K41" s="175">
        <f>K17/((infpen!AC57+infpen!AD57+infpen!AE57)*365)</f>
        <v>0.76615112682280162</v>
      </c>
      <c r="N41" s="200"/>
    </row>
    <row r="42" spans="1:14" x14ac:dyDescent="0.25">
      <c r="A42" s="167" t="s">
        <v>493</v>
      </c>
      <c r="B42" s="165" t="s">
        <v>471</v>
      </c>
      <c r="C42" s="176">
        <f>base!AA66+base!AB66+base!AC66+base!AD66+base!AE66+base!AF66</f>
        <v>343.28630136986294</v>
      </c>
      <c r="E42" s="167" t="s">
        <v>493</v>
      </c>
      <c r="F42" s="165" t="s">
        <v>471</v>
      </c>
      <c r="G42" s="176">
        <f>infpen!W60+infpen!X60+infpen!Y60+infpen!Z60+infpen!AA60+infpen!AB60</f>
        <v>51.613698630136987</v>
      </c>
      <c r="I42" s="167" t="s">
        <v>493</v>
      </c>
      <c r="J42" s="165" t="s">
        <v>471</v>
      </c>
      <c r="K42" s="176">
        <f>infpen!W54+infpen!X54+infpen!Y54+infpen!Z54+infpen!AA54+infpen!AB54</f>
        <v>0</v>
      </c>
      <c r="M42" s="197"/>
      <c r="N42" s="201"/>
    </row>
    <row r="43" spans="1:14" x14ac:dyDescent="0.25">
      <c r="A43" s="174"/>
      <c r="B43" s="167" t="s">
        <v>470</v>
      </c>
      <c r="C43" s="176">
        <f>base!AA67+base!AB67+base!AC67+base!AD67+base!AE67+base!AF67</f>
        <v>107.76575342465753</v>
      </c>
      <c r="E43" s="174"/>
      <c r="F43" s="167" t="s">
        <v>470</v>
      </c>
      <c r="G43" s="176">
        <f>infpen!W61+infpen!X61+infpen!Y61+infpen!Z61+infpen!AA61+infpen!AB61</f>
        <v>11.317808219178083</v>
      </c>
      <c r="I43" s="174"/>
      <c r="J43" s="167" t="s">
        <v>470</v>
      </c>
      <c r="K43" s="176">
        <f>infpen!W55+infpen!X55+infpen!Y55+infpen!Z55+infpen!AA55+infpen!AB55</f>
        <v>0</v>
      </c>
      <c r="M43" s="199"/>
      <c r="N43" s="201"/>
    </row>
    <row r="44" spans="1:14" x14ac:dyDescent="0.25">
      <c r="A44" s="167"/>
      <c r="B44" s="167" t="s">
        <v>469</v>
      </c>
      <c r="C44" s="176">
        <f>base!AA68+base!AB68+base!AC68+base!AD68+base!AE68+base!AF68</f>
        <v>91.398630136986313</v>
      </c>
      <c r="E44" s="167"/>
      <c r="F44" s="167" t="s">
        <v>469</v>
      </c>
      <c r="G44" s="176">
        <f>infpen!W62+infpen!X62+infpen!Y62+infpen!Z62+infpen!AA62+infpen!AB62</f>
        <v>2.3232876712328756</v>
      </c>
      <c r="I44" s="167"/>
      <c r="J44" s="167" t="s">
        <v>469</v>
      </c>
      <c r="K44" s="176">
        <f>infpen!W56+infpen!Y56+infpen!X56+infpen!Z56+infpen!AA56+infpen!AB56</f>
        <v>0</v>
      </c>
      <c r="M44" s="199"/>
      <c r="N44" s="201"/>
    </row>
    <row r="45" spans="1:14" x14ac:dyDescent="0.25">
      <c r="A45" s="167"/>
      <c r="B45" s="167" t="s">
        <v>304</v>
      </c>
      <c r="C45" s="176">
        <f>C42+C43+C44</f>
        <v>542.45068493150677</v>
      </c>
      <c r="E45" s="167"/>
      <c r="F45" s="167" t="s">
        <v>304</v>
      </c>
      <c r="G45" s="176">
        <f>G42+G43+G44</f>
        <v>65.254794520547946</v>
      </c>
      <c r="I45" s="167"/>
      <c r="J45" s="167" t="s">
        <v>304</v>
      </c>
      <c r="K45" s="176">
        <f>K42+K43+K44</f>
        <v>0</v>
      </c>
      <c r="M45" s="199"/>
      <c r="N45" s="201"/>
    </row>
    <row r="46" spans="1:14" x14ac:dyDescent="0.25">
      <c r="A46" s="165" t="s">
        <v>494</v>
      </c>
      <c r="B46" s="165" t="s">
        <v>471</v>
      </c>
      <c r="C46" s="178">
        <f>base!AP66+base!AQ66+base!AR66</f>
        <v>1006.749315068493</v>
      </c>
      <c r="E46" s="165" t="s">
        <v>494</v>
      </c>
      <c r="F46" s="165" t="s">
        <v>471</v>
      </c>
      <c r="G46" s="178">
        <f>infpen!AL60+infpen!AM60+infpen!AN60</f>
        <v>440.78356164383564</v>
      </c>
      <c r="I46" s="165" t="s">
        <v>494</v>
      </c>
      <c r="J46" s="165" t="s">
        <v>471</v>
      </c>
      <c r="K46" s="178">
        <f>infpen!AL54+infpen!AM54+infpen!AN54</f>
        <v>5.6993150684931511</v>
      </c>
      <c r="M46" s="197"/>
      <c r="N46" s="201"/>
    </row>
    <row r="47" spans="1:14" x14ac:dyDescent="0.25">
      <c r="A47" s="174"/>
      <c r="B47" s="167" t="s">
        <v>470</v>
      </c>
      <c r="C47" s="176">
        <f>base!AP67+base!AQ67+base!AR67</f>
        <v>378.32260273972594</v>
      </c>
      <c r="E47" s="174"/>
      <c r="F47" s="167" t="s">
        <v>470</v>
      </c>
      <c r="G47" s="176">
        <f>infpen!AL61+infpen!AM61+infpen!AN61</f>
        <v>78.245205479452054</v>
      </c>
      <c r="I47" s="174"/>
      <c r="J47" s="167" t="s">
        <v>470</v>
      </c>
      <c r="K47" s="176">
        <f>infpen!AM55+infpen!AL55+infpen!AN55</f>
        <v>0</v>
      </c>
      <c r="M47" s="199"/>
      <c r="N47" s="201"/>
    </row>
    <row r="48" spans="1:14" x14ac:dyDescent="0.25">
      <c r="A48" s="179"/>
      <c r="B48" s="167" t="s">
        <v>469</v>
      </c>
      <c r="C48" s="177">
        <f>base!AP68+base!AQ68+base!AR68</f>
        <v>128.26438356164385</v>
      </c>
      <c r="E48" s="179"/>
      <c r="F48" s="167" t="s">
        <v>469</v>
      </c>
      <c r="G48" s="177">
        <f>infpen!AL62+infpen!AM62+infpen!AN62</f>
        <v>9.0198630136986306</v>
      </c>
      <c r="I48" s="179"/>
      <c r="J48" s="167" t="s">
        <v>469</v>
      </c>
      <c r="K48" s="177">
        <f>infpen!AM56+infpen!AN56+infpen!AL56</f>
        <v>0</v>
      </c>
      <c r="M48" s="199"/>
      <c r="N48" s="201"/>
    </row>
    <row r="49" spans="1:14" x14ac:dyDescent="0.25">
      <c r="A49" s="170"/>
      <c r="B49" s="170" t="s">
        <v>304</v>
      </c>
      <c r="C49" s="180">
        <f>C46+C47+C48</f>
        <v>1513.3363013698629</v>
      </c>
      <c r="E49" s="170"/>
      <c r="F49" s="170" t="s">
        <v>304</v>
      </c>
      <c r="G49" s="180">
        <f>G46+G47+G48</f>
        <v>528.04863013698639</v>
      </c>
      <c r="I49" s="170"/>
      <c r="J49" s="170" t="s">
        <v>304</v>
      </c>
      <c r="K49" s="180">
        <f>K46+K47+K48</f>
        <v>5.6993150684931511</v>
      </c>
      <c r="M49" s="199"/>
      <c r="N49" s="201"/>
    </row>
    <row r="50" spans="1:14" x14ac:dyDescent="0.25">
      <c r="A50" s="167" t="s">
        <v>474</v>
      </c>
      <c r="B50" s="165" t="s">
        <v>471</v>
      </c>
      <c r="C50" s="181"/>
      <c r="E50" s="197"/>
      <c r="F50" s="197"/>
      <c r="G50" s="201"/>
      <c r="I50" s="197"/>
      <c r="J50" s="197"/>
      <c r="K50" s="201"/>
      <c r="M50" s="197"/>
      <c r="N50" s="201"/>
    </row>
    <row r="51" spans="1:14" x14ac:dyDescent="0.25">
      <c r="A51" s="167"/>
      <c r="B51" s="167" t="s">
        <v>470</v>
      </c>
      <c r="C51" s="181"/>
      <c r="E51" s="197"/>
      <c r="F51" s="197"/>
      <c r="G51" s="201"/>
      <c r="I51" s="197"/>
      <c r="J51" s="197"/>
      <c r="K51" s="201"/>
      <c r="N51" s="201"/>
    </row>
    <row r="52" spans="1:14" x14ac:dyDescent="0.25">
      <c r="A52" s="167"/>
      <c r="B52" s="167" t="s">
        <v>469</v>
      </c>
      <c r="C52" s="181"/>
      <c r="E52" s="197"/>
      <c r="F52" s="197"/>
      <c r="G52" s="201"/>
      <c r="I52" s="197"/>
      <c r="J52" s="197"/>
      <c r="K52" s="201"/>
      <c r="N52" s="201"/>
    </row>
    <row r="53" spans="1:14" x14ac:dyDescent="0.25">
      <c r="A53" s="167"/>
      <c r="B53" s="167" t="s">
        <v>304</v>
      </c>
      <c r="C53" s="181"/>
      <c r="E53" s="197"/>
      <c r="F53" s="197"/>
      <c r="G53" s="201"/>
      <c r="I53" s="197"/>
      <c r="J53" s="197"/>
      <c r="K53" s="201"/>
      <c r="N53" s="201"/>
    </row>
    <row r="54" spans="1:14" x14ac:dyDescent="0.25">
      <c r="A54" s="165" t="s">
        <v>475</v>
      </c>
      <c r="B54" s="165" t="s">
        <v>471</v>
      </c>
      <c r="C54" s="184"/>
      <c r="E54" s="197"/>
      <c r="F54" s="197"/>
      <c r="G54" s="201"/>
      <c r="I54" s="197"/>
      <c r="J54" s="197"/>
      <c r="K54" s="201"/>
      <c r="M54" s="197"/>
      <c r="N54" s="201"/>
    </row>
    <row r="55" spans="1:14" x14ac:dyDescent="0.25">
      <c r="A55" s="167"/>
      <c r="B55" s="167" t="s">
        <v>470</v>
      </c>
      <c r="C55" s="181"/>
      <c r="E55" s="197"/>
      <c r="F55" s="197"/>
      <c r="G55" s="201"/>
      <c r="I55" s="197"/>
      <c r="J55" s="197"/>
      <c r="K55" s="201"/>
      <c r="N55" s="201"/>
    </row>
    <row r="56" spans="1:14" x14ac:dyDescent="0.25">
      <c r="A56" s="169"/>
      <c r="B56" s="167" t="s">
        <v>469</v>
      </c>
      <c r="C56" s="182"/>
      <c r="E56" s="197"/>
      <c r="F56" s="197"/>
      <c r="G56" s="201"/>
      <c r="I56" s="197"/>
      <c r="J56" s="197"/>
      <c r="K56" s="201"/>
      <c r="N56" s="201"/>
    </row>
    <row r="57" spans="1:14" x14ac:dyDescent="0.25">
      <c r="A57" s="170"/>
      <c r="B57" s="170" t="s">
        <v>304</v>
      </c>
      <c r="C57" s="183"/>
      <c r="E57" s="197"/>
      <c r="F57" s="197"/>
      <c r="G57" s="201"/>
      <c r="I57" s="197"/>
      <c r="J57" s="197"/>
      <c r="K57" s="198"/>
      <c r="N57" s="198"/>
    </row>
    <row r="58" spans="1:14" x14ac:dyDescent="0.25">
      <c r="A58" s="165" t="s">
        <v>476</v>
      </c>
      <c r="B58" s="165" t="s">
        <v>471</v>
      </c>
      <c r="C58" s="185"/>
      <c r="E58" s="197"/>
      <c r="F58" s="197"/>
      <c r="G58" s="202"/>
      <c r="I58" s="197"/>
      <c r="J58" s="197"/>
      <c r="K58" s="202"/>
      <c r="M58" s="197"/>
      <c r="N58" s="202"/>
    </row>
    <row r="59" spans="1:14" x14ac:dyDescent="0.25">
      <c r="A59" s="186"/>
      <c r="B59" s="167" t="s">
        <v>470</v>
      </c>
      <c r="C59" s="187"/>
      <c r="E59" s="190"/>
      <c r="F59" s="197"/>
      <c r="G59" s="202"/>
      <c r="I59" s="190"/>
      <c r="J59" s="197"/>
      <c r="K59" s="202"/>
      <c r="N59" s="202"/>
    </row>
    <row r="60" spans="1:14" x14ac:dyDescent="0.25">
      <c r="A60" s="186"/>
      <c r="B60" s="167" t="s">
        <v>469</v>
      </c>
      <c r="C60" s="185"/>
      <c r="E60" s="190"/>
      <c r="F60" s="197"/>
      <c r="G60" s="203"/>
      <c r="I60" s="190"/>
      <c r="J60" s="197"/>
      <c r="K60" s="202"/>
      <c r="N60" s="202"/>
    </row>
    <row r="61" spans="1:14" x14ac:dyDescent="0.25">
      <c r="A61" s="188"/>
      <c r="B61" s="170" t="s">
        <v>477</v>
      </c>
      <c r="C61" s="189"/>
      <c r="F61" s="197"/>
      <c r="G61" s="203"/>
      <c r="I61" s="190"/>
      <c r="J61" s="197"/>
      <c r="K61" s="202"/>
      <c r="L61" s="199"/>
      <c r="N61" s="202"/>
    </row>
    <row r="62" spans="1:14" x14ac:dyDescent="0.25">
      <c r="A62" s="190"/>
      <c r="B62" s="190"/>
      <c r="C62" s="190"/>
    </row>
    <row r="63" spans="1:14" x14ac:dyDescent="0.25">
      <c r="A63" s="190" t="s">
        <v>478</v>
      </c>
      <c r="B63" s="190"/>
      <c r="C63" s="191">
        <f>base!H69</f>
        <v>800438599</v>
      </c>
    </row>
    <row r="64" spans="1:14" x14ac:dyDescent="0.25">
      <c r="A64" s="190" t="s">
        <v>479</v>
      </c>
      <c r="B64" s="190"/>
      <c r="C64" s="191">
        <f>base!BJ69</f>
        <v>579411762.29979384</v>
      </c>
      <c r="D64" s="105">
        <f>base!BK69</f>
        <v>0.7238678432345238</v>
      </c>
    </row>
    <row r="65" spans="1:15" x14ac:dyDescent="0.25">
      <c r="A65" s="190"/>
      <c r="B65" s="190"/>
      <c r="C65" s="190"/>
    </row>
    <row r="67" spans="1:15" x14ac:dyDescent="0.25">
      <c r="A67" s="254" t="s">
        <v>495</v>
      </c>
      <c r="B67" s="254"/>
      <c r="C67" s="254"/>
    </row>
    <row r="68" spans="1:15" x14ac:dyDescent="0.25">
      <c r="A68" s="254"/>
      <c r="B68" s="254"/>
      <c r="C68" s="254"/>
      <c r="E68" s="255"/>
      <c r="F68" s="255"/>
      <c r="G68" s="255"/>
      <c r="I68" s="256"/>
      <c r="J68" s="256"/>
      <c r="K68" s="256"/>
      <c r="M68" s="255"/>
      <c r="N68" s="255"/>
      <c r="O68" s="255"/>
    </row>
    <row r="69" spans="1:15" x14ac:dyDescent="0.25">
      <c r="A69" s="190"/>
      <c r="B69" s="190" t="s">
        <v>480</v>
      </c>
      <c r="C69" s="190" t="s">
        <v>481</v>
      </c>
      <c r="E69" s="160"/>
      <c r="F69" s="204"/>
      <c r="G69" s="204"/>
      <c r="I69" s="160"/>
      <c r="J69" s="160"/>
      <c r="K69" s="204"/>
    </row>
    <row r="70" spans="1:15" x14ac:dyDescent="0.25">
      <c r="A70" s="190" t="s">
        <v>471</v>
      </c>
      <c r="B70" s="191">
        <f>base!BF66</f>
        <v>135190.78800342759</v>
      </c>
      <c r="C70" s="191">
        <f>$K$4*B70</f>
        <v>121671.70920308483</v>
      </c>
      <c r="E70" s="201"/>
      <c r="F70" s="201"/>
      <c r="G70" s="201"/>
      <c r="I70" s="201"/>
      <c r="J70" s="201"/>
      <c r="K70" s="201"/>
      <c r="M70" s="116"/>
      <c r="N70" s="116"/>
      <c r="O70" s="116"/>
    </row>
    <row r="71" spans="1:15" x14ac:dyDescent="0.25">
      <c r="A71" s="190" t="s">
        <v>470</v>
      </c>
      <c r="B71" s="191">
        <f>base!BF67</f>
        <v>116821.4218337316</v>
      </c>
      <c r="C71" s="191">
        <f>$K$4*B71</f>
        <v>105139.27965035844</v>
      </c>
      <c r="E71" s="201"/>
      <c r="F71" s="201"/>
      <c r="G71" s="201"/>
      <c r="I71" s="201"/>
      <c r="J71" s="201"/>
      <c r="K71" s="201"/>
      <c r="M71" s="116"/>
      <c r="N71" s="116"/>
      <c r="O71" s="116"/>
    </row>
    <row r="72" spans="1:15" x14ac:dyDescent="0.25">
      <c r="A72" s="208" t="s">
        <v>470</v>
      </c>
      <c r="B72" s="191">
        <f>base!BF68</f>
        <v>6392.1453738382579</v>
      </c>
      <c r="C72" s="191">
        <f>$K$4*B72</f>
        <v>5752.9308364544322</v>
      </c>
      <c r="E72" s="201"/>
      <c r="F72" s="201"/>
      <c r="G72" s="201"/>
      <c r="I72" s="201"/>
      <c r="J72" s="201"/>
      <c r="K72" s="201"/>
      <c r="M72" s="116"/>
      <c r="N72" s="116"/>
      <c r="O72" s="116"/>
    </row>
    <row r="73" spans="1:15" x14ac:dyDescent="0.25">
      <c r="A73" s="190"/>
      <c r="B73" s="191"/>
      <c r="C73" s="191"/>
      <c r="E73" s="199"/>
      <c r="I73" s="199"/>
      <c r="M73" s="116"/>
      <c r="N73" s="116"/>
      <c r="O73" s="116"/>
    </row>
    <row r="74" spans="1:15" x14ac:dyDescent="0.25">
      <c r="A74" s="190"/>
      <c r="B74" s="190"/>
      <c r="C74" s="190"/>
    </row>
    <row r="75" spans="1:15" x14ac:dyDescent="0.25">
      <c r="A75" s="190" t="s">
        <v>482</v>
      </c>
      <c r="B75" s="192">
        <f>G4</f>
        <v>0.9</v>
      </c>
      <c r="C75" s="190"/>
    </row>
    <row r="76" spans="1:15" x14ac:dyDescent="0.25">
      <c r="A76" s="190" t="s">
        <v>483</v>
      </c>
      <c r="B76" s="192">
        <f>G5</f>
        <v>0.95</v>
      </c>
      <c r="C76" s="190"/>
    </row>
  </sheetData>
  <mergeCells count="8">
    <mergeCell ref="A2:K2"/>
    <mergeCell ref="E4:E5"/>
    <mergeCell ref="M7:N8"/>
    <mergeCell ref="A67:C68"/>
    <mergeCell ref="E68:G68"/>
    <mergeCell ref="I68:K68"/>
    <mergeCell ref="M68:O68"/>
    <mergeCell ref="H4: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lisez-moi</vt:lpstr>
      <vt:lpstr>PSYSAE2023OC</vt:lpstr>
      <vt:lpstr>scansanté2024</vt:lpstr>
      <vt:lpstr>dotpop24</vt:lpstr>
      <vt:lpstr>PSYSAE2023OCTOT</vt:lpstr>
      <vt:lpstr>base</vt:lpstr>
      <vt:lpstr>infpen</vt:lpstr>
      <vt:lpstr>synthèse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(FHP Occitanie) Mathis Sedira-Lemaire</dc:creator>
  <cp:lastModifiedBy>(FHP Occitanie) Mathis SEDIRA-LEMAIRE</cp:lastModifiedBy>
  <dcterms:created xsi:type="dcterms:W3CDTF">2025-07-11T13:56:59Z</dcterms:created>
  <dcterms:modified xsi:type="dcterms:W3CDTF">2025-07-22T12:20:51Z</dcterms:modified>
</cp:coreProperties>
</file>