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8262fbf1b570a/Documents/Fantasy Football/Hattrick/hattrick-xg/"/>
    </mc:Choice>
  </mc:AlternateContent>
  <xr:revisionPtr revIDLastSave="48" documentId="8_{34B61EB7-FFA6-4443-847A-EA99AA7AF431}" xr6:coauthVersionLast="47" xr6:coauthVersionMax="47" xr10:uidLastSave="{FE2F3B48-8B56-4FA9-B02E-16307AFDCBB4}"/>
  <bookViews>
    <workbookView xWindow="-110" yWindow="-110" windowWidth="19420" windowHeight="10300" activeTab="1" xr2:uid="{1B81A366-56D4-4589-B8E7-9C60B7DD7BC2}"/>
  </bookViews>
  <sheets>
    <sheet name="Summary" sheetId="4" r:id="rId1"/>
    <sheet name="Calculator" sheetId="1" r:id="rId2"/>
    <sheet name="Training Speed" sheetId="2" r:id="rId3"/>
    <sheet name="Individual" sheetId="3" r:id="rId4"/>
  </sheets>
  <definedNames>
    <definedName name="_xlnm._FilterDatabase" localSheetId="2" hidden="1">'Training Speed'!$A$1:$M$99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V2" i="1"/>
  <c r="T2" i="1"/>
  <c r="R2" i="1"/>
  <c r="P2" i="1"/>
  <c r="N2" i="1"/>
  <c r="L2" i="1"/>
  <c r="D13" i="4"/>
  <c r="D2" i="1" s="1"/>
  <c r="K99" i="2"/>
  <c r="J99" i="2"/>
  <c r="I99" i="2"/>
  <c r="H99" i="2"/>
  <c r="G99" i="2"/>
  <c r="F99" i="2"/>
  <c r="E99" i="2"/>
  <c r="D99" i="2"/>
  <c r="K90" i="2"/>
  <c r="J90" i="2"/>
  <c r="I90" i="2"/>
  <c r="H90" i="2"/>
  <c r="G90" i="2"/>
  <c r="F90" i="2"/>
  <c r="E90" i="2"/>
  <c r="D90" i="2"/>
  <c r="K81" i="2"/>
  <c r="J81" i="2"/>
  <c r="I81" i="2"/>
  <c r="H81" i="2"/>
  <c r="G81" i="2"/>
  <c r="F81" i="2"/>
  <c r="E81" i="2"/>
  <c r="D81" i="2"/>
  <c r="K72" i="2"/>
  <c r="J72" i="2"/>
  <c r="I72" i="2"/>
  <c r="H72" i="2"/>
  <c r="G72" i="2"/>
  <c r="F72" i="2"/>
  <c r="E72" i="2"/>
  <c r="D72" i="2"/>
  <c r="K63" i="2"/>
  <c r="J63" i="2"/>
  <c r="I63" i="2"/>
  <c r="H63" i="2"/>
  <c r="G63" i="2"/>
  <c r="F63" i="2"/>
  <c r="E63" i="2"/>
  <c r="D63" i="2"/>
  <c r="K46" i="2"/>
  <c r="J46" i="2"/>
  <c r="I46" i="2"/>
  <c r="H46" i="2"/>
  <c r="G46" i="2"/>
  <c r="F46" i="2"/>
  <c r="E46" i="2"/>
  <c r="D46" i="2"/>
  <c r="K37" i="2"/>
  <c r="J37" i="2"/>
  <c r="I37" i="2"/>
  <c r="H37" i="2"/>
  <c r="G37" i="2"/>
  <c r="F37" i="2"/>
  <c r="E37" i="2"/>
  <c r="D37" i="2"/>
  <c r="K28" i="2"/>
  <c r="J28" i="2"/>
  <c r="I28" i="2"/>
  <c r="H28" i="2"/>
  <c r="G28" i="2"/>
  <c r="F28" i="2"/>
  <c r="E28" i="2"/>
  <c r="D28" i="2"/>
  <c r="K19" i="2"/>
  <c r="J19" i="2"/>
  <c r="I19" i="2"/>
  <c r="H19" i="2"/>
  <c r="G19" i="2"/>
  <c r="F19" i="2"/>
  <c r="E19" i="2"/>
  <c r="D19" i="2"/>
  <c r="J10" i="2"/>
  <c r="K10" i="2"/>
  <c r="I10" i="2"/>
  <c r="H10" i="2"/>
  <c r="G10" i="2"/>
  <c r="F10" i="2"/>
  <c r="E10" i="2"/>
  <c r="D10" i="2"/>
  <c r="E9" i="4"/>
  <c r="C9" i="4"/>
  <c r="Q43" i="3"/>
  <c r="P43" i="3"/>
  <c r="Q42" i="3"/>
  <c r="P42" i="3"/>
  <c r="Q41" i="3"/>
  <c r="P41" i="3"/>
  <c r="Q40" i="3"/>
  <c r="P40" i="3"/>
  <c r="Q39" i="3"/>
  <c r="P39" i="3"/>
  <c r="Q38" i="3"/>
  <c r="P38" i="3"/>
  <c r="Q37" i="3"/>
  <c r="P37" i="3"/>
  <c r="Q36" i="3"/>
  <c r="P36" i="3"/>
  <c r="Q35" i="3"/>
  <c r="P35" i="3"/>
  <c r="Q34" i="3"/>
  <c r="P34" i="3"/>
  <c r="Q33" i="3"/>
  <c r="P33" i="3"/>
  <c r="Q32" i="3"/>
  <c r="P32" i="3"/>
  <c r="Q31" i="3"/>
  <c r="P31" i="3"/>
  <c r="Q30" i="3"/>
  <c r="P30" i="3"/>
  <c r="Q29" i="3"/>
  <c r="P29" i="3"/>
  <c r="Q28" i="3"/>
  <c r="P28" i="3"/>
  <c r="Q27" i="3"/>
  <c r="P27" i="3"/>
  <c r="Q26" i="3"/>
  <c r="P26" i="3"/>
  <c r="Q25" i="3"/>
  <c r="P25" i="3"/>
  <c r="Q24" i="3"/>
  <c r="P24" i="3"/>
  <c r="Q23" i="3"/>
  <c r="P23" i="3"/>
  <c r="Q22" i="3"/>
  <c r="P22" i="3"/>
  <c r="Q21" i="3"/>
  <c r="P21" i="3"/>
  <c r="Q20" i="3"/>
  <c r="P20" i="3"/>
  <c r="Q19" i="3"/>
  <c r="P19" i="3"/>
  <c r="Q18" i="3"/>
  <c r="P18" i="3"/>
  <c r="Q17" i="3"/>
  <c r="P17" i="3"/>
  <c r="Q16" i="3"/>
  <c r="P16" i="3"/>
  <c r="Q15" i="3"/>
  <c r="P15" i="3"/>
  <c r="Q14" i="3"/>
  <c r="P14" i="3"/>
  <c r="Q13" i="3"/>
  <c r="P13" i="3"/>
  <c r="Q12" i="3"/>
  <c r="P12" i="3"/>
  <c r="Q11" i="3"/>
  <c r="P11" i="3"/>
  <c r="Q10" i="3"/>
  <c r="P10" i="3"/>
  <c r="Q9" i="3"/>
  <c r="P9" i="3"/>
  <c r="P8" i="3"/>
  <c r="P7" i="3"/>
  <c r="P6" i="3"/>
  <c r="P5" i="3"/>
  <c r="P4" i="3"/>
  <c r="P3" i="3"/>
  <c r="N43" i="3"/>
  <c r="T43" i="3" s="1"/>
  <c r="N42" i="3"/>
  <c r="T42" i="3" s="1"/>
  <c r="N41" i="3"/>
  <c r="T41" i="3" s="1"/>
  <c r="N40" i="3"/>
  <c r="T40" i="3" s="1"/>
  <c r="N39" i="3"/>
  <c r="T39" i="3" s="1"/>
  <c r="N38" i="3"/>
  <c r="T38" i="3" s="1"/>
  <c r="N37" i="3"/>
  <c r="T37" i="3" s="1"/>
  <c r="N36" i="3"/>
  <c r="O36" i="3" s="1"/>
  <c r="N35" i="3"/>
  <c r="T35" i="3" s="1"/>
  <c r="N34" i="3"/>
  <c r="T34" i="3" s="1"/>
  <c r="N33" i="3"/>
  <c r="T33" i="3" s="1"/>
  <c r="N32" i="3"/>
  <c r="T32" i="3" s="1"/>
  <c r="N31" i="3"/>
  <c r="T31" i="3" s="1"/>
  <c r="N30" i="3"/>
  <c r="T30" i="3" s="1"/>
  <c r="N29" i="3"/>
  <c r="T29" i="3" s="1"/>
  <c r="N28" i="3"/>
  <c r="O28" i="3" s="1"/>
  <c r="N27" i="3"/>
  <c r="T27" i="3" s="1"/>
  <c r="N26" i="3"/>
  <c r="T26" i="3" s="1"/>
  <c r="N25" i="3"/>
  <c r="T25" i="3" s="1"/>
  <c r="N24" i="3"/>
  <c r="T24" i="3" s="1"/>
  <c r="N23" i="3"/>
  <c r="T23" i="3" s="1"/>
  <c r="N22" i="3"/>
  <c r="T22" i="3" s="1"/>
  <c r="N21" i="3"/>
  <c r="T21" i="3" s="1"/>
  <c r="N20" i="3"/>
  <c r="O20" i="3" s="1"/>
  <c r="N19" i="3"/>
  <c r="T19" i="3" s="1"/>
  <c r="N18" i="3"/>
  <c r="T18" i="3" s="1"/>
  <c r="N17" i="3"/>
  <c r="T17" i="3" s="1"/>
  <c r="N16" i="3"/>
  <c r="T16" i="3" s="1"/>
  <c r="N15" i="3"/>
  <c r="T15" i="3" s="1"/>
  <c r="N14" i="3"/>
  <c r="T14" i="3" s="1"/>
  <c r="N13" i="3"/>
  <c r="T13" i="3" s="1"/>
  <c r="N12" i="3"/>
  <c r="O12" i="3" s="1"/>
  <c r="N11" i="3"/>
  <c r="T11" i="3" s="1"/>
  <c r="N10" i="3"/>
  <c r="T10" i="3" s="1"/>
  <c r="N9" i="3"/>
  <c r="T9" i="3" s="1"/>
  <c r="N8" i="3"/>
  <c r="T8" i="3" s="1"/>
  <c r="N7" i="3"/>
  <c r="T7" i="3" s="1"/>
  <c r="N6" i="3"/>
  <c r="T6" i="3" s="1"/>
  <c r="N5" i="3"/>
  <c r="T5" i="3" s="1"/>
  <c r="N4" i="3"/>
  <c r="R4" i="3" s="1"/>
  <c r="N3" i="3"/>
  <c r="T3" i="3" s="1"/>
  <c r="N2" i="3"/>
  <c r="T2" i="3" s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8" i="1"/>
  <c r="Z8" i="1"/>
  <c r="AA7" i="1"/>
  <c r="Z7" i="1"/>
  <c r="AA6" i="1"/>
  <c r="Z6" i="1"/>
  <c r="AA5" i="1"/>
  <c r="Z5" i="1"/>
  <c r="AA4" i="1"/>
  <c r="Z4" i="1"/>
  <c r="AA3" i="1"/>
  <c r="Z3" i="1"/>
  <c r="AA2" i="1"/>
  <c r="Z2" i="1"/>
  <c r="I7" i="3"/>
  <c r="I6" i="3"/>
  <c r="I5" i="3"/>
  <c r="I4" i="3"/>
  <c r="I3" i="3"/>
  <c r="I2" i="3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K2" i="1" a="1"/>
  <c r="J2" i="1" a="1"/>
  <c r="E2" i="1" l="1"/>
  <c r="F2" i="1" s="1"/>
  <c r="D3" i="1"/>
  <c r="B7" i="4"/>
  <c r="C7" i="4"/>
  <c r="C6" i="4"/>
  <c r="E8" i="4"/>
  <c r="E7" i="4"/>
  <c r="E4" i="4"/>
  <c r="E3" i="4"/>
  <c r="E6" i="4"/>
  <c r="E5" i="4"/>
  <c r="C5" i="4"/>
  <c r="E2" i="4"/>
  <c r="C3" i="4"/>
  <c r="C8" i="4"/>
  <c r="C4" i="4"/>
  <c r="C2" i="4"/>
  <c r="D7" i="4"/>
  <c r="D5" i="4"/>
  <c r="B5" i="4"/>
  <c r="D2" i="4"/>
  <c r="B2" i="4"/>
  <c r="P2" i="3"/>
  <c r="O14" i="3"/>
  <c r="R14" i="3"/>
  <c r="R38" i="3"/>
  <c r="Q2" i="3"/>
  <c r="R16" i="3"/>
  <c r="Q3" i="3"/>
  <c r="O24" i="3"/>
  <c r="Q4" i="3"/>
  <c r="R24" i="3"/>
  <c r="Q5" i="3"/>
  <c r="O2" i="3"/>
  <c r="R26" i="3"/>
  <c r="Q6" i="3"/>
  <c r="R2" i="3"/>
  <c r="O34" i="3"/>
  <c r="Q7" i="3"/>
  <c r="R6" i="3"/>
  <c r="R34" i="3"/>
  <c r="Q8" i="3"/>
  <c r="O6" i="3"/>
  <c r="O16" i="3"/>
  <c r="O26" i="3"/>
  <c r="O38" i="3"/>
  <c r="O8" i="3"/>
  <c r="O18" i="3"/>
  <c r="O30" i="3"/>
  <c r="O40" i="3"/>
  <c r="R8" i="3"/>
  <c r="R18" i="3"/>
  <c r="R30" i="3"/>
  <c r="R40" i="3"/>
  <c r="O10" i="3"/>
  <c r="O22" i="3"/>
  <c r="O32" i="3"/>
  <c r="O42" i="3"/>
  <c r="R10" i="3"/>
  <c r="R22" i="3"/>
  <c r="R32" i="3"/>
  <c r="R42" i="3"/>
  <c r="R12" i="3"/>
  <c r="R20" i="3"/>
  <c r="R28" i="3"/>
  <c r="R36" i="3"/>
  <c r="S2" i="3"/>
  <c r="S4" i="3"/>
  <c r="S6" i="3"/>
  <c r="S8" i="3"/>
  <c r="S10" i="3"/>
  <c r="S12" i="3"/>
  <c r="S14" i="3"/>
  <c r="S16" i="3"/>
  <c r="S18" i="3"/>
  <c r="S20" i="3"/>
  <c r="S22" i="3"/>
  <c r="S24" i="3"/>
  <c r="S26" i="3"/>
  <c r="S28" i="3"/>
  <c r="S30" i="3"/>
  <c r="S32" i="3"/>
  <c r="S34" i="3"/>
  <c r="S36" i="3"/>
  <c r="S38" i="3"/>
  <c r="S40" i="3"/>
  <c r="S42" i="3"/>
  <c r="T4" i="3"/>
  <c r="T12" i="3"/>
  <c r="T20" i="3"/>
  <c r="T28" i="3"/>
  <c r="T36" i="3"/>
  <c r="O3" i="3"/>
  <c r="O5" i="3"/>
  <c r="O7" i="3"/>
  <c r="O9" i="3"/>
  <c r="O11" i="3"/>
  <c r="O13" i="3"/>
  <c r="O15" i="3"/>
  <c r="O17" i="3"/>
  <c r="O19" i="3"/>
  <c r="O21" i="3"/>
  <c r="O23" i="3"/>
  <c r="O25" i="3"/>
  <c r="O27" i="3"/>
  <c r="O29" i="3"/>
  <c r="O31" i="3"/>
  <c r="O33" i="3"/>
  <c r="O35" i="3"/>
  <c r="O37" i="3"/>
  <c r="O39" i="3"/>
  <c r="O41" i="3"/>
  <c r="O43" i="3"/>
  <c r="O4" i="3"/>
  <c r="R3" i="3"/>
  <c r="R5" i="3"/>
  <c r="R7" i="3"/>
  <c r="R9" i="3"/>
  <c r="R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S3" i="3"/>
  <c r="S5" i="3"/>
  <c r="S7" i="3"/>
  <c r="S9" i="3"/>
  <c r="S11" i="3"/>
  <c r="S13" i="3"/>
  <c r="S15" i="3"/>
  <c r="S17" i="3"/>
  <c r="S19" i="3"/>
  <c r="S21" i="3"/>
  <c r="S23" i="3"/>
  <c r="S25" i="3"/>
  <c r="S27" i="3"/>
  <c r="S29" i="3"/>
  <c r="S31" i="3"/>
  <c r="S33" i="3"/>
  <c r="S35" i="3"/>
  <c r="S37" i="3"/>
  <c r="S39" i="3"/>
  <c r="S41" i="3"/>
  <c r="S43" i="3"/>
  <c r="W2" i="1"/>
  <c r="U2" i="1"/>
  <c r="Q2" i="1"/>
  <c r="K2" i="1"/>
  <c r="J2" i="1"/>
  <c r="D4" i="1"/>
  <c r="E4" i="1" s="1"/>
  <c r="F4" i="1" s="1"/>
  <c r="A26" i="1"/>
  <c r="A25" i="1"/>
  <c r="A27" i="1" s="1"/>
  <c r="A28" i="1" s="1"/>
  <c r="E3" i="1"/>
  <c r="F3" i="1" s="1"/>
  <c r="Y2" i="1" l="1"/>
  <c r="T3" i="1"/>
  <c r="U3" i="1" s="1"/>
  <c r="T4" i="1" s="1"/>
  <c r="U4" i="1" s="1"/>
  <c r="P3" i="1"/>
  <c r="Q3" i="1" s="1"/>
  <c r="P4" i="1" s="1"/>
  <c r="Q4" i="1" s="1"/>
  <c r="V3" i="1"/>
  <c r="W3" i="1" s="1"/>
  <c r="V4" i="1" s="1"/>
  <c r="W4" i="1" s="1"/>
  <c r="O2" i="1"/>
  <c r="S2" i="1"/>
  <c r="M2" i="1"/>
  <c r="D5" i="1"/>
  <c r="E5" i="1" s="1"/>
  <c r="F5" i="1" s="1"/>
  <c r="D6" i="1" l="1"/>
  <c r="D7" i="1" s="1"/>
  <c r="X3" i="1"/>
  <c r="R3" i="1"/>
  <c r="N3" i="1"/>
  <c r="L3" i="1"/>
  <c r="P5" i="1"/>
  <c r="Q5" i="1" s="1"/>
  <c r="J3" i="1" a="1"/>
  <c r="K3" i="1" a="1"/>
  <c r="E6" i="1" l="1"/>
  <c r="F6" i="1" s="1"/>
  <c r="J3" i="1"/>
  <c r="K3" i="1"/>
  <c r="M3" i="1" s="1"/>
  <c r="Y3" i="1"/>
  <c r="S3" i="1"/>
  <c r="P6" i="1"/>
  <c r="Q6" i="1" s="1"/>
  <c r="D8" i="1"/>
  <c r="E7" i="1"/>
  <c r="F7" i="1" s="1"/>
  <c r="X4" i="1" l="1"/>
  <c r="R4" i="1"/>
  <c r="O3" i="1"/>
  <c r="N4" i="1" s="1"/>
  <c r="L4" i="1"/>
  <c r="P7" i="1"/>
  <c r="Q7" i="1" s="1"/>
  <c r="D9" i="1"/>
  <c r="E8" i="1"/>
  <c r="F8" i="1" s="1"/>
  <c r="J4" i="1" a="1"/>
  <c r="K4" i="1" a="1"/>
  <c r="J4" i="1" l="1"/>
  <c r="K4" i="1"/>
  <c r="M4" i="1" s="1"/>
  <c r="P8" i="1"/>
  <c r="Q8" i="1" s="1"/>
  <c r="V5" i="1"/>
  <c r="W5" i="1" s="1"/>
  <c r="T5" i="1"/>
  <c r="U5" i="1" s="1"/>
  <c r="D10" i="1"/>
  <c r="E9" i="1"/>
  <c r="F9" i="1" s="1"/>
  <c r="S4" i="1" l="1"/>
  <c r="R5" i="1" s="1"/>
  <c r="Y4" i="1"/>
  <c r="O4" i="1"/>
  <c r="N5" i="1" s="1"/>
  <c r="L5" i="1"/>
  <c r="P9" i="1"/>
  <c r="D11" i="1"/>
  <c r="E10" i="1"/>
  <c r="F10" i="1" s="1"/>
  <c r="J5" i="1" a="1"/>
  <c r="X5" i="1" l="1"/>
  <c r="J5" i="1"/>
  <c r="T6" i="1"/>
  <c r="U6" i="1" s="1"/>
  <c r="V6" i="1"/>
  <c r="W6" i="1" s="1"/>
  <c r="D12" i="1"/>
  <c r="E11" i="1"/>
  <c r="F11" i="1" s="1"/>
  <c r="K5" i="1" a="1"/>
  <c r="K5" i="1" l="1"/>
  <c r="O5" i="1" s="1"/>
  <c r="N6" i="1" s="1"/>
  <c r="D13" i="1"/>
  <c r="E12" i="1"/>
  <c r="F12" i="1" s="1"/>
  <c r="J6" i="1" a="1"/>
  <c r="M5" i="1" l="1"/>
  <c r="L6" i="1" s="1"/>
  <c r="S5" i="1"/>
  <c r="R6" i="1" s="1"/>
  <c r="Y5" i="1"/>
  <c r="X6" i="1" s="1"/>
  <c r="J6" i="1"/>
  <c r="T7" i="1"/>
  <c r="U7" i="1" s="1"/>
  <c r="V7" i="1"/>
  <c r="W7" i="1" s="1"/>
  <c r="D14" i="1"/>
  <c r="E13" i="1"/>
  <c r="F13" i="1" s="1"/>
  <c r="K6" i="1" a="1"/>
  <c r="K6" i="1" l="1"/>
  <c r="S6" i="1" s="1"/>
  <c r="R7" i="1" s="1"/>
  <c r="D15" i="1"/>
  <c r="E14" i="1"/>
  <c r="F14" i="1" s="1"/>
  <c r="O6" i="1" l="1"/>
  <c r="N7" i="1" s="1"/>
  <c r="M6" i="1"/>
  <c r="L7" i="1" s="1"/>
  <c r="Y6" i="1"/>
  <c r="X7" i="1" s="1"/>
  <c r="V8" i="1"/>
  <c r="W8" i="1" s="1"/>
  <c r="T8" i="1"/>
  <c r="U8" i="1" s="1"/>
  <c r="D16" i="1"/>
  <c r="E15" i="1"/>
  <c r="F15" i="1" s="1"/>
  <c r="K7" i="1" a="1"/>
  <c r="J7" i="1" a="1"/>
  <c r="J7" i="1" l="1"/>
  <c r="K7" i="1"/>
  <c r="S7" i="1" s="1"/>
  <c r="R8" i="1" s="1"/>
  <c r="T9" i="1"/>
  <c r="U9" i="1" s="1"/>
  <c r="D17" i="1"/>
  <c r="E16" i="1"/>
  <c r="F16" i="1" s="1"/>
  <c r="M7" i="1" l="1"/>
  <c r="L8" i="1" s="1"/>
  <c r="O7" i="1"/>
  <c r="N8" i="1" s="1"/>
  <c r="Y7" i="1"/>
  <c r="X8" i="1" s="1"/>
  <c r="T10" i="1"/>
  <c r="U10" i="1" s="1"/>
  <c r="V9" i="1"/>
  <c r="W9" i="1" s="1"/>
  <c r="D18" i="1"/>
  <c r="E17" i="1"/>
  <c r="F17" i="1" s="1"/>
  <c r="J8" i="1" a="1"/>
  <c r="K8" i="1" a="1"/>
  <c r="J8" i="1" l="1"/>
  <c r="K8" i="1"/>
  <c r="M8" i="1" s="1"/>
  <c r="L9" i="1" s="1"/>
  <c r="V10" i="1"/>
  <c r="W10" i="1" s="1"/>
  <c r="T11" i="1"/>
  <c r="U11" i="1" s="1"/>
  <c r="D19" i="1"/>
  <c r="E18" i="1"/>
  <c r="F18" i="1" s="1"/>
  <c r="S8" i="1" l="1"/>
  <c r="R9" i="1" s="1"/>
  <c r="O8" i="1"/>
  <c r="N9" i="1" s="1"/>
  <c r="Y8" i="1"/>
  <c r="X9" i="1" s="1"/>
  <c r="Q9" i="1"/>
  <c r="P10" i="1" s="1"/>
  <c r="Q10" i="1" s="1"/>
  <c r="P11" i="1" s="1"/>
  <c r="Q11" i="1" s="1"/>
  <c r="V11" i="1"/>
  <c r="W11" i="1" s="1"/>
  <c r="T12" i="1"/>
  <c r="U12" i="1" s="1"/>
  <c r="D20" i="1"/>
  <c r="E19" i="1"/>
  <c r="F19" i="1" s="1"/>
  <c r="K9" i="1" a="1"/>
  <c r="J9" i="1" a="1"/>
  <c r="K9" i="1" l="1"/>
  <c r="M9" i="1" s="1"/>
  <c r="L10" i="1" s="1"/>
  <c r="J9" i="1"/>
  <c r="V12" i="1"/>
  <c r="W12" i="1" s="1"/>
  <c r="T13" i="1"/>
  <c r="U13" i="1" s="1"/>
  <c r="D21" i="1"/>
  <c r="E20" i="1"/>
  <c r="F20" i="1" s="1"/>
  <c r="O9" i="1" l="1"/>
  <c r="N10" i="1" s="1"/>
  <c r="Y9" i="1"/>
  <c r="X10" i="1" s="1"/>
  <c r="S9" i="1"/>
  <c r="R10" i="1" s="1"/>
  <c r="P12" i="1"/>
  <c r="V13" i="1"/>
  <c r="W13" i="1" s="1"/>
  <c r="T14" i="1"/>
  <c r="U14" i="1" s="1"/>
  <c r="D22" i="1"/>
  <c r="E21" i="1"/>
  <c r="F21" i="1" s="1"/>
  <c r="J10" i="1" a="1"/>
  <c r="K10" i="1" a="1"/>
  <c r="J10" i="1" l="1"/>
  <c r="K10" i="1"/>
  <c r="Y10" i="1" s="1"/>
  <c r="X11" i="1" s="1"/>
  <c r="Q12" i="1"/>
  <c r="P13" i="1" s="1"/>
  <c r="V14" i="1"/>
  <c r="W14" i="1" s="1"/>
  <c r="T15" i="1"/>
  <c r="U15" i="1" s="1"/>
  <c r="D23" i="1"/>
  <c r="E22" i="1"/>
  <c r="F22" i="1" s="1"/>
  <c r="O10" i="1" l="1"/>
  <c r="N11" i="1" s="1"/>
  <c r="M10" i="1"/>
  <c r="L11" i="1" s="1"/>
  <c r="S10" i="1"/>
  <c r="R11" i="1" s="1"/>
  <c r="V15" i="1"/>
  <c r="W15" i="1" s="1"/>
  <c r="T16" i="1"/>
  <c r="U16" i="1" s="1"/>
  <c r="D24" i="1"/>
  <c r="E23" i="1"/>
  <c r="F23" i="1" s="1"/>
  <c r="K11" i="1" a="1"/>
  <c r="J11" i="1" a="1"/>
  <c r="J11" i="1" l="1"/>
  <c r="K11" i="1"/>
  <c r="V16" i="1"/>
  <c r="W16" i="1" s="1"/>
  <c r="T17" i="1"/>
  <c r="U17" i="1" s="1"/>
  <c r="D25" i="1"/>
  <c r="E24" i="1"/>
  <c r="F24" i="1" s="1"/>
  <c r="M11" i="1" l="1"/>
  <c r="L12" i="1" s="1"/>
  <c r="O11" i="1"/>
  <c r="N12" i="1" s="1"/>
  <c r="Y11" i="1"/>
  <c r="X12" i="1" s="1"/>
  <c r="S11" i="1"/>
  <c r="R12" i="1" s="1"/>
  <c r="V17" i="1"/>
  <c r="W17" i="1" s="1"/>
  <c r="T18" i="1"/>
  <c r="U18" i="1" s="1"/>
  <c r="D26" i="1"/>
  <c r="E25" i="1"/>
  <c r="F25" i="1" s="1"/>
  <c r="J12" i="1" a="1"/>
  <c r="K12" i="1" a="1"/>
  <c r="J12" i="1" l="1"/>
  <c r="K12" i="1"/>
  <c r="V18" i="1"/>
  <c r="W18" i="1" s="1"/>
  <c r="T19" i="1"/>
  <c r="U19" i="1" s="1"/>
  <c r="D27" i="1"/>
  <c r="E26" i="1"/>
  <c r="F26" i="1" s="1"/>
  <c r="O12" i="1" l="1"/>
  <c r="N13" i="1" s="1"/>
  <c r="Y12" i="1"/>
  <c r="X13" i="1" s="1"/>
  <c r="S12" i="1"/>
  <c r="R13" i="1" s="1"/>
  <c r="M12" i="1"/>
  <c r="L13" i="1" s="1"/>
  <c r="Q13" i="1"/>
  <c r="P14" i="1" s="1"/>
  <c r="Q14" i="1" s="1"/>
  <c r="P15" i="1" s="1"/>
  <c r="V19" i="1"/>
  <c r="W19" i="1" s="1"/>
  <c r="T20" i="1"/>
  <c r="U20" i="1" s="1"/>
  <c r="D28" i="1"/>
  <c r="E28" i="1" s="1"/>
  <c r="F28" i="1" s="1"/>
  <c r="E27" i="1"/>
  <c r="F27" i="1" s="1"/>
  <c r="J13" i="1" a="1"/>
  <c r="K13" i="1" a="1"/>
  <c r="J13" i="1" l="1"/>
  <c r="K13" i="1"/>
  <c r="S13" i="1" s="1"/>
  <c r="R14" i="1" s="1"/>
  <c r="Q15" i="1"/>
  <c r="P16" i="1" s="1"/>
  <c r="Q16" i="1" s="1"/>
  <c r="V20" i="1"/>
  <c r="W20" i="1" s="1"/>
  <c r="T21" i="1"/>
  <c r="U21" i="1" s="1"/>
  <c r="Y13" i="1" l="1"/>
  <c r="X14" i="1" s="1"/>
  <c r="O13" i="1"/>
  <c r="N14" i="1" s="1"/>
  <c r="M13" i="1"/>
  <c r="L14" i="1" s="1"/>
  <c r="V21" i="1"/>
  <c r="W21" i="1" s="1"/>
  <c r="T22" i="1"/>
  <c r="U22" i="1" s="1"/>
  <c r="J14" i="1" a="1"/>
  <c r="K14" i="1" a="1"/>
  <c r="K14" i="1" l="1"/>
  <c r="Y14" i="1" s="1"/>
  <c r="X15" i="1" s="1"/>
  <c r="J14" i="1"/>
  <c r="P17" i="1"/>
  <c r="V22" i="1"/>
  <c r="W22" i="1" s="1"/>
  <c r="T23" i="1"/>
  <c r="U23" i="1" s="1"/>
  <c r="M14" i="1" l="1"/>
  <c r="L15" i="1" s="1"/>
  <c r="O14" i="1"/>
  <c r="N15" i="1" s="1"/>
  <c r="S14" i="1"/>
  <c r="R15" i="1" s="1"/>
  <c r="V23" i="1"/>
  <c r="W23" i="1" s="1"/>
  <c r="J15" i="1" a="1"/>
  <c r="K15" i="1" a="1"/>
  <c r="J15" i="1" l="1"/>
  <c r="K15" i="1"/>
  <c r="S15" i="1" s="1"/>
  <c r="R16" i="1" s="1"/>
  <c r="Y15" i="1" l="1"/>
  <c r="X16" i="1" s="1"/>
  <c r="O15" i="1"/>
  <c r="N16" i="1" s="1"/>
  <c r="M15" i="1"/>
  <c r="L16" i="1" s="1"/>
  <c r="J16" i="1" a="1"/>
  <c r="K16" i="1" a="1"/>
  <c r="J16" i="1" l="1"/>
  <c r="K16" i="1"/>
  <c r="Y16" i="1" s="1"/>
  <c r="X17" i="1" s="1"/>
  <c r="S16" i="1"/>
  <c r="R17" i="1" s="1"/>
  <c r="O16" i="1"/>
  <c r="N17" i="1" s="1"/>
  <c r="V24" i="1"/>
  <c r="W24" i="1" s="1"/>
  <c r="T24" i="1"/>
  <c r="U24" i="1" s="1"/>
  <c r="J17" i="1" a="1"/>
  <c r="M16" i="1" l="1"/>
  <c r="L17" i="1" s="1"/>
  <c r="J17" i="1"/>
  <c r="Q17" i="1"/>
  <c r="P18" i="1" s="1"/>
  <c r="Q18" i="1" s="1"/>
  <c r="P19" i="1" s="1"/>
  <c r="Q19" i="1" s="1"/>
  <c r="P20" i="1" s="1"/>
  <c r="Q20" i="1" s="1"/>
  <c r="K17" i="1" a="1"/>
  <c r="K17" i="1" l="1"/>
  <c r="M17" i="1" s="1"/>
  <c r="L18" i="1" s="1"/>
  <c r="J18" i="1" a="1"/>
  <c r="K18" i="1" a="1"/>
  <c r="O17" i="1" l="1"/>
  <c r="N18" i="1" s="1"/>
  <c r="S17" i="1"/>
  <c r="R18" i="1" s="1"/>
  <c r="Y17" i="1"/>
  <c r="X18" i="1" s="1"/>
  <c r="J18" i="1"/>
  <c r="K18" i="1"/>
  <c r="T25" i="1"/>
  <c r="U25" i="1" s="1"/>
  <c r="V25" i="1"/>
  <c r="W25" i="1" s="1"/>
  <c r="O18" i="1" l="1"/>
  <c r="N19" i="1" s="1"/>
  <c r="Y18" i="1"/>
  <c r="X19" i="1" s="1"/>
  <c r="M18" i="1"/>
  <c r="L19" i="1" s="1"/>
  <c r="S18" i="1"/>
  <c r="R19" i="1" s="1"/>
  <c r="K19" i="1" a="1"/>
  <c r="J19" i="1" a="1"/>
  <c r="J19" i="1" l="1"/>
  <c r="K19" i="1"/>
  <c r="Y19" i="1" s="1"/>
  <c r="X20" i="1" s="1"/>
  <c r="P21" i="1"/>
  <c r="T26" i="1"/>
  <c r="U26" i="1" s="1"/>
  <c r="V26" i="1"/>
  <c r="W26" i="1" s="1"/>
  <c r="S19" i="1" l="1"/>
  <c r="R20" i="1" s="1"/>
  <c r="M19" i="1"/>
  <c r="L20" i="1" s="1"/>
  <c r="O19" i="1"/>
  <c r="N20" i="1" s="1"/>
  <c r="J20" i="1" a="1"/>
  <c r="K20" i="1" a="1"/>
  <c r="J20" i="1" l="1"/>
  <c r="K20" i="1"/>
  <c r="S20" i="1" s="1"/>
  <c r="R21" i="1" s="1"/>
  <c r="V27" i="1"/>
  <c r="W27" i="1" s="1"/>
  <c r="T27" i="1"/>
  <c r="U27" i="1" s="1"/>
  <c r="Y20" i="1" l="1"/>
  <c r="X21" i="1" s="1"/>
  <c r="M20" i="1"/>
  <c r="L21" i="1" s="1"/>
  <c r="O20" i="1"/>
  <c r="N21" i="1" s="1"/>
  <c r="K21" i="1" a="1"/>
  <c r="J21" i="1" a="1"/>
  <c r="J21" i="1" l="1"/>
  <c r="K21" i="1"/>
  <c r="Q21" i="1"/>
  <c r="P22" i="1" s="1"/>
  <c r="Q22" i="1" s="1"/>
  <c r="P23" i="1" s="1"/>
  <c r="Q23" i="1" s="1"/>
  <c r="P24" i="1" s="1"/>
  <c r="Q24" i="1" s="1"/>
  <c r="P25" i="1" s="1"/>
  <c r="Q25" i="1" s="1"/>
  <c r="P26" i="1" s="1"/>
  <c r="Q26" i="1" s="1"/>
  <c r="P27" i="1" s="1"/>
  <c r="Q27" i="1" s="1"/>
  <c r="P28" i="1" s="1"/>
  <c r="Q28" i="1" s="1"/>
  <c r="F5" i="4" s="1"/>
  <c r="V28" i="1"/>
  <c r="W28" i="1" s="1"/>
  <c r="O21" i="1" l="1"/>
  <c r="N22" i="1" s="1"/>
  <c r="Y21" i="1"/>
  <c r="X22" i="1" s="1"/>
  <c r="M21" i="1"/>
  <c r="L22" i="1" s="1"/>
  <c r="S21" i="1"/>
  <c r="R22" i="1" s="1"/>
  <c r="F2" i="4"/>
  <c r="K22" i="1" a="1"/>
  <c r="J22" i="1" a="1"/>
  <c r="J22" i="1" l="1"/>
  <c r="K22" i="1"/>
  <c r="Y22" i="1" s="1"/>
  <c r="X23" i="1" s="1"/>
  <c r="O22" i="1" l="1"/>
  <c r="N23" i="1" s="1"/>
  <c r="S22" i="1"/>
  <c r="R23" i="1" s="1"/>
  <c r="M22" i="1"/>
  <c r="L23" i="1" s="1"/>
  <c r="K23" i="1" a="1"/>
  <c r="J23" i="1" a="1"/>
  <c r="J23" i="1" l="1"/>
  <c r="K23" i="1"/>
  <c r="O23" i="1" s="1"/>
  <c r="N24" i="1" s="1"/>
  <c r="Y23" i="1"/>
  <c r="X24" i="1" s="1"/>
  <c r="S23" i="1" l="1"/>
  <c r="R24" i="1" s="1"/>
  <c r="M23" i="1"/>
  <c r="L24" i="1" s="1"/>
  <c r="K24" i="1" a="1"/>
  <c r="J24" i="1" a="1"/>
  <c r="J24" i="1" l="1"/>
  <c r="K24" i="1"/>
  <c r="Y24" i="1" s="1"/>
  <c r="X25" i="1" s="1"/>
  <c r="T28" i="1"/>
  <c r="U28" i="1" s="1"/>
  <c r="S24" i="1" l="1"/>
  <c r="R25" i="1" s="1"/>
  <c r="M24" i="1"/>
  <c r="L25" i="1" s="1"/>
  <c r="O24" i="1"/>
  <c r="N25" i="1" s="1"/>
  <c r="F7" i="4"/>
  <c r="K25" i="1" a="1"/>
  <c r="J25" i="1" a="1"/>
  <c r="J25" i="1" l="1"/>
  <c r="K25" i="1"/>
  <c r="Y25" i="1" s="1"/>
  <c r="X26" i="1" s="1"/>
  <c r="S25" i="1" l="1"/>
  <c r="R26" i="1" s="1"/>
  <c r="M25" i="1"/>
  <c r="L26" i="1" s="1"/>
  <c r="O25" i="1"/>
  <c r="N26" i="1" s="1"/>
  <c r="J26" i="1" a="1"/>
  <c r="K26" i="1" a="1"/>
  <c r="J26" i="1" l="1"/>
  <c r="K26" i="1"/>
  <c r="B8" i="4"/>
  <c r="B6" i="4"/>
  <c r="M26" i="1" l="1"/>
  <c r="L27" i="1" s="1"/>
  <c r="S26" i="1"/>
  <c r="R27" i="1" s="1"/>
  <c r="Y26" i="1"/>
  <c r="X27" i="1" s="1"/>
  <c r="O26" i="1"/>
  <c r="N27" i="1" s="1"/>
  <c r="J27" i="1" a="1"/>
  <c r="K27" i="1" a="1"/>
  <c r="J27" i="1" l="1"/>
  <c r="K27" i="1"/>
  <c r="S27" i="1" s="1"/>
  <c r="R28" i="1" s="1"/>
  <c r="Y27" i="1" l="1"/>
  <c r="X28" i="1" s="1"/>
  <c r="M27" i="1"/>
  <c r="L28" i="1" s="1"/>
  <c r="O27" i="1"/>
  <c r="N28" i="1" s="1"/>
  <c r="J28" i="1" a="1"/>
  <c r="K28" i="1" a="1"/>
  <c r="K28" i="1" l="1"/>
  <c r="J28" i="1"/>
  <c r="B9" i="4"/>
  <c r="B3" i="4"/>
  <c r="D3" i="4"/>
  <c r="M28" i="1" l="1"/>
  <c r="F3" i="4" s="1"/>
  <c r="D6" i="4"/>
  <c r="D4" i="4"/>
  <c r="D8" i="4"/>
  <c r="Y28" i="1"/>
  <c r="F8" i="4" s="1"/>
  <c r="D9" i="4"/>
  <c r="F9" i="4" s="1"/>
  <c r="S28" i="1"/>
  <c r="F6" i="4" s="1"/>
  <c r="O28" i="1"/>
  <c r="F4" i="4" s="1"/>
  <c r="B4" i="4"/>
  <c r="B10" i="4" s="1"/>
  <c r="H3" i="4" l="1"/>
  <c r="D10" i="4"/>
  <c r="F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<sst xmlns="http://schemas.openxmlformats.org/spreadsheetml/2006/main" count="1087" uniqueCount="76">
  <si>
    <t>Date</t>
  </si>
  <si>
    <t>Type</t>
  </si>
  <si>
    <t>League</t>
  </si>
  <si>
    <t>Training Percentage</t>
  </si>
  <si>
    <t>Friendly</t>
  </si>
  <si>
    <t>Training</t>
  </si>
  <si>
    <t>Age (decimal)</t>
  </si>
  <si>
    <t>Age (days)</t>
  </si>
  <si>
    <t>Age (years)</t>
  </si>
  <si>
    <t>Defending</t>
  </si>
  <si>
    <t>Def Post Game</t>
  </si>
  <si>
    <t>Def Pre Game</t>
  </si>
  <si>
    <t>PM Pre Game</t>
  </si>
  <si>
    <t>PM Post Game</t>
  </si>
  <si>
    <t>Playmaking</t>
  </si>
  <si>
    <t>Scoring</t>
  </si>
  <si>
    <t>Passing</t>
  </si>
  <si>
    <t>Winger</t>
  </si>
  <si>
    <t>Keeper</t>
  </si>
  <si>
    <t>Defensive Positions</t>
  </si>
  <si>
    <t>Wing Attacks</t>
  </si>
  <si>
    <t>Through Passes</t>
  </si>
  <si>
    <t>Shooting</t>
  </si>
  <si>
    <t>Start Skill</t>
  </si>
  <si>
    <t>End Skill</t>
  </si>
  <si>
    <t>Primary Training</t>
  </si>
  <si>
    <t>Secondary Training</t>
  </si>
  <si>
    <t>Primary Train</t>
  </si>
  <si>
    <t>Secondary Train</t>
  </si>
  <si>
    <t>Wing Pre Game</t>
  </si>
  <si>
    <t>Wing Post Game</t>
  </si>
  <si>
    <t>Pass Pre Game</t>
  </si>
  <si>
    <t>Pass Post Game</t>
  </si>
  <si>
    <t>Scoring Pre Game</t>
  </si>
  <si>
    <t>Scoring Post Game</t>
  </si>
  <si>
    <t>GK Pre Game</t>
  </si>
  <si>
    <t>GK Post Game</t>
  </si>
  <si>
    <t>Skill</t>
  </si>
  <si>
    <t>Offset</t>
  </si>
  <si>
    <t>Position</t>
  </si>
  <si>
    <t>CD</t>
  </si>
  <si>
    <t>WB</t>
  </si>
  <si>
    <t>IM</t>
  </si>
  <si>
    <t>W</t>
  </si>
  <si>
    <t>FW</t>
  </si>
  <si>
    <t>Sum</t>
  </si>
  <si>
    <t>GK</t>
  </si>
  <si>
    <t>Percentile</t>
  </si>
  <si>
    <t>Set Pieces</t>
  </si>
  <si>
    <t>Individual</t>
  </si>
  <si>
    <t>SP Pre Game</t>
  </si>
  <si>
    <t>SP Post Game</t>
  </si>
  <si>
    <t>Individual Training Primary</t>
  </si>
  <si>
    <t>Individual Training Secondary</t>
  </si>
  <si>
    <t>Mean</t>
  </si>
  <si>
    <t>Chance &lt;10%</t>
  </si>
  <si>
    <t>Chance &lt;mean</t>
  </si>
  <si>
    <t>Chance &gt;50%</t>
  </si>
  <si>
    <t>Chance &gt;90%</t>
  </si>
  <si>
    <t>Number Trainings</t>
  </si>
  <si>
    <t>Chance &lt;mean minus 2</t>
  </si>
  <si>
    <t>Chance &lt;mean minus x</t>
  </si>
  <si>
    <t>Chances</t>
  </si>
  <si>
    <t>Total Primary Training</t>
  </si>
  <si>
    <t>Total Secondary Training</t>
  </si>
  <si>
    <t>Total Training</t>
  </si>
  <si>
    <t>All</t>
  </si>
  <si>
    <t>Count Primary</t>
  </si>
  <si>
    <t>Count Secondary</t>
  </si>
  <si>
    <t>Player Age</t>
  </si>
  <si>
    <t>Years</t>
  </si>
  <si>
    <t>Days</t>
  </si>
  <si>
    <t>Decimal</t>
  </si>
  <si>
    <t>Defense</t>
  </si>
  <si>
    <t>Goalkeeping</t>
  </si>
  <si>
    <t>Skill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</si>
</sst>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rgb="FF000000"/>
      <name val="Tahoma"/>
      <family val="2"/>
    </font>
    <font>
      <sz val="6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4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9" fontId="0" fillId="0" borderId="0" xfId="1" applyFont="1"/>
    <xf numFmtId="10" fontId="0" fillId="0" borderId="0" xfId="0" applyNumberFormat="1"/>
    <xf numFmtId="0" fontId="0" fillId="5" borderId="0" xfId="0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16" fontId="0" fillId="6" borderId="0" xfId="0" applyNumberFormat="1" applyFill="1"/>
    <xf numFmtId="0" fontId="0" fillId="6" borderId="0" xfId="0" applyFill="1"/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95E4-6B46-43B4-AFBF-6194F0C6816F}">
  <sheetPr>
    <tabColor theme="9"/>
  </sheetPr>
  <dimension ref="A1:H22"/>
  <sheetViews>
    <sheetView workbookViewId="0">
      <selection activeCell="C24" sqref="C24"/>
    </sheetView>
  </sheetViews>
  <sheetFormatPr defaultRowHeight="14.5" x14ac:dyDescent="0.35"/>
  <cols>
    <col min="1" max="1" width="10.1796875" bestFit="1" customWidth="1"/>
    <col min="2" max="6" width="11.1796875" customWidth="1"/>
  </cols>
  <sheetData>
    <row r="1" spans="1:8" ht="43.5" x14ac:dyDescent="0.35">
      <c r="B1" s="12" t="s">
        <v>63</v>
      </c>
      <c r="C1" s="12" t="s">
        <v>67</v>
      </c>
      <c r="D1" s="12" t="s">
        <v>64</v>
      </c>
      <c r="E1" s="12" t="s">
        <v>68</v>
      </c>
      <c r="F1" s="12" t="s">
        <v>65</v>
      </c>
    </row>
    <row r="2" spans="1:8" x14ac:dyDescent="0.35">
      <c r="A2" t="s">
        <v>18</v>
      </c>
      <c r="B2">
        <f ca="1">SUMIF(Calculator!$H$2:$H$28,"Keeper",Calculator!$J$2:$J$28)+SUMIF(Calculator!$Z$2:$Z$28,"Keeper",Calculator!$J$2:$J$28)</f>
        <v>0</v>
      </c>
      <c r="C2">
        <f ca="1">COUNTIF(Calculator!$H$2:$H$28,"Keeper")+COUNTIF(Calculator!$Z$2:$Z$28,"Keeper")</f>
        <v>0</v>
      </c>
      <c r="D2">
        <f ca="1">SUMIF(Calculator!$I$2:$I$28,"Keeper",Calculator!$K$2:$K$28)+SUMIF(Calculator!$AA$2:$AA$28,"Keeper",Calculator!$K$2:$K$28)</f>
        <v>0</v>
      </c>
      <c r="E2">
        <f ca="1">COUNTIF(Calculator!$I$2:$I$28,"Keeper")+COUNTIF(Calculator!$AA$2:$AA$28,"Keeper")</f>
        <v>0</v>
      </c>
      <c r="F2">
        <f ca="1">MAX(Calculator!$W$2:$W$28)-MIN(Calculator!$V$2:$V$28)</f>
        <v>0</v>
      </c>
    </row>
    <row r="3" spans="1:8" x14ac:dyDescent="0.35">
      <c r="A3" t="s">
        <v>9</v>
      </c>
      <c r="B3">
        <f ca="1">SUMIF(Calculator!$H$2:$H$28,"Defending",Calculator!$J$2:$J$28)+SUMIF(Calculator!$H$2:$H$28,"Defensive Positions",Calculator!$J$2:$J$28)+SUMIF(Calculator!$Z$2:$Z$28,"Defending",Calculator!$J$2:$J$28)</f>
        <v>1.4558785956974947</v>
      </c>
      <c r="C3">
        <f ca="1">COUNTIF(Calculator!$H$2:$H$28,"Defending")+COUNTIF(Calculator!$H$2:$H$28,"Defensive Positions")+COUNTIF(Calculator!$Z$2:$Z$28,"Defending")</f>
        <v>12</v>
      </c>
      <c r="D3">
        <f ca="1">SUMIF(Calculator!$I$2:$I$28,"Defending",Calculator!$K$2:$K$28)+SUMIF(Calculator!$I$2:$I$28,"Defensive Positions",Calculator!$K$2:$K$28)+SUMIF(Calculator!$AA$2:$AA$28,"Defending",Calculator!$K$2:$K$28)</f>
        <v>0.82636758304274505</v>
      </c>
      <c r="E3">
        <f ca="1">COUNTIF(Calculator!$I$2:$I$28,"Defending")+COUNTIF(Calculator!$I$2:$I$28,"Defensive Positions")+COUNTIF(Calculator!$AA$2:$AA$28,"Defending")</f>
        <v>19</v>
      </c>
      <c r="F3">
        <f ca="1">MAX(Calculator!$M$2:$M$28)-MIN(Calculator!$L$2:$L$28)</f>
        <v>2.2822461787402419</v>
      </c>
      <c r="H3">
        <f ca="1">F3+F4</f>
        <v>4.3661278360641536</v>
      </c>
    </row>
    <row r="4" spans="1:8" x14ac:dyDescent="0.35">
      <c r="A4" t="s">
        <v>14</v>
      </c>
      <c r="B4">
        <f ca="1">SUMIF(Calculator!$H$2:$H$28,"Playmaking",Calculator!$J$2:$J$28)+SUMIF(Calculator!$Z$2:$Z$28,"Playmaking",Calculator!$J$2:$J$28)</f>
        <v>1.8671013189597119</v>
      </c>
      <c r="C4">
        <f ca="1">COUNTIF(Calculator!$H$2:$H$28,"Playmaking")+COUNTIF(Calculator!$Z$2:$Z$28,"Playmaking")</f>
        <v>15</v>
      </c>
      <c r="D4">
        <f ca="1">SUMIF(Calculator!$I$2:$I$28,"Playmaking",Calculator!$K$2:$K$28)+SUMIF(Calculator!$AA$2:$AA$28,"Playmaking",Calculator!$K$2:$K$28)</f>
        <v>0.21678033836419916</v>
      </c>
      <c r="E4">
        <f ca="1">COUNTIF(Calculator!$I$2:$I$28,"Playmaking")+COUNTIF(Calculator!$AA$2:$AA$28,"Playmaking")</f>
        <v>5</v>
      </c>
      <c r="F4">
        <f ca="1">MAX(Calculator!$O$2:$O$28)-MIN(Calculator!$N$2:$N$28)</f>
        <v>2.0838816573239116</v>
      </c>
    </row>
    <row r="5" spans="1:8" x14ac:dyDescent="0.35">
      <c r="A5" t="s">
        <v>17</v>
      </c>
      <c r="B5">
        <f ca="1">SUMIF(Calculator!$H$2:$H$28,"Winger",Calculator!$J$2:$J$28)+SUMIF(Calculator!$H$2:$H$28,"Wing Attacks",Calculator!$J$2:$J$28)+SUMIF(Calculator!$Z$2:$Z$28,"Winger",Calculator!$J$2:$J$28)</f>
        <v>0</v>
      </c>
      <c r="C5">
        <f ca="1">COUNTIF(Calculator!$H$2:$H$28,"Winger")+COUNTIF(Calculator!$H$2:$H$28,"Wing Attacks")+COUNTIF(Calculator!$Z$2:$Z$28,"Winger")</f>
        <v>0</v>
      </c>
      <c r="D5">
        <f ca="1">SUMIF(Calculator!$I$2:$I$28,"Winger",Calculator!$K$2:$K$28)+SUMIF(Calculator!$I$2:$I$28,"Wing Attacks",Calculator!$K$2:$K$28)+SUMIF(Calculator!$AA$2:$AA$28,"Winger",Calculator!$K$2:$K$28)</f>
        <v>0</v>
      </c>
      <c r="E5">
        <f ca="1">COUNTIF(Calculator!$I$2:$I$28,"Winger")+COUNTIF(Calculator!$I$2:$I$28,"Wing Attacks")+COUNTIF(Calculator!$AA$2:$AA$28,"Winger")</f>
        <v>0</v>
      </c>
      <c r="F5">
        <f ca="1">MAX(Calculator!$Q$2:$Q$28)-MIN(Calculator!$P$2:$P$28)</f>
        <v>0</v>
      </c>
    </row>
    <row r="6" spans="1:8" x14ac:dyDescent="0.35">
      <c r="A6" t="s">
        <v>16</v>
      </c>
      <c r="B6">
        <f ca="1">SUMIF(Calculator!$H$2:$H$28,"Passing",Calculator!$J$2:$J$28)+SUMIF(Calculator!$H$2:$H$28,"Through Passes",Calculator!$J$2:$J$28)+SUMIF(Calculator!$Z$2:$Z$28,"Passing",Calculator!$J$2:$J$28)</f>
        <v>0</v>
      </c>
      <c r="C6">
        <f ca="1">COUNTIF(Calculator!$H$2:$H$28,"Passing")+COUNTIF(Calculator!$H$2:$H$28,"Through Passes")+COUNTIF(Calculator!$Z$2:$Z$28,"Passing")</f>
        <v>0</v>
      </c>
      <c r="D6">
        <f ca="1">SUMIF(Calculator!$I$2:$I$28,"Passing",Calculator!$K$2:$K$28)+SUMIF(Calculator!$I$2:$I$28,"Through Passes",Calculator!$K$2:$K$28)+SUMIF(Calculator!$AA$2:$AA$28,"Passing",Calculator!$K$2:$K$28)</f>
        <v>0.41070582759799507</v>
      </c>
      <c r="E6">
        <f ca="1">COUNTIF(Calculator!$I$2:$I$28,"Passing")+COUNTIF(Calculator!$I$2:$I$28,"Through Passes")+COUNTIF(Calculator!$AA$2:$AA$28,"Passing")</f>
        <v>3</v>
      </c>
      <c r="F6">
        <f ca="1">MAX(Calculator!$S$2:$S$28)-MIN(Calculator!$R$2:$R$28)</f>
        <v>0.41070582759799512</v>
      </c>
    </row>
    <row r="7" spans="1:8" x14ac:dyDescent="0.35">
      <c r="A7" t="s">
        <v>15</v>
      </c>
      <c r="B7">
        <f ca="1">SUMIF(Calculator!$H$2:$H$28,"Scoring",Calculator!$J$2:$J$28)+SUMIF(Calculator!$H$2:$H$28,"Shooting",Calculator!$J$2:$J$28)+SUMIF(Calculator!$Z$2:$Z$28,"Scoring",Calculator!$J$2:$J$28)</f>
        <v>0</v>
      </c>
      <c r="C7">
        <f ca="1">COUNTIF(Calculator!$H$2:$H$28,"Scoring")+COUNTIF(Calculator!$H$2:$H$28,"Shooting")+COUNTIF(Calculator!$Z$2:$Z$28,"Scoring")</f>
        <v>0</v>
      </c>
      <c r="D7">
        <f ca="1">SUMIF(Calculator!$I$2:$I$28,"Scoring",Calculator!$K$2:$K$28)+SUMIF(Calculator!$I$2:$I$28,"Shooting",Calculator!$K$2:$K$28)+SUMIF(Calculator!$AA$2:$AA$28,"Scoring",Calculator!$K$2:$K$28)</f>
        <v>0</v>
      </c>
      <c r="E7">
        <f ca="1">COUNTIF(Calculator!$I$2:$I$28,"Scoring")+COUNTIF(Calculator!$I$2:$I$28,"Shooting")+COUNTIF(Calculator!$AA$2:$AA$28,"Scoring")</f>
        <v>0</v>
      </c>
      <c r="F7">
        <f ca="1">MAX(Calculator!$U$2:$U$28)-MIN(Calculator!$T$2:$T$28)</f>
        <v>0</v>
      </c>
    </row>
    <row r="8" spans="1:8" x14ac:dyDescent="0.35">
      <c r="A8" t="s">
        <v>48</v>
      </c>
      <c r="B8">
        <f ca="1">SUMIF(Calculator!$H$2:$H$28,"Set Pieces",Calculator!$J$2:$J$28)+SUMIF(Calculator!$Z$2:$Z$28,"Set Pieces",Calculator!$J$2:$J$28)</f>
        <v>0</v>
      </c>
      <c r="C8">
        <f ca="1">COUNTIF(Calculator!$H$2:$H$28,"Set Pieces")+COUNTIF(Calculator!$Z$2:$Z$28,"Set Pieces")</f>
        <v>0</v>
      </c>
      <c r="D8">
        <f ca="1">SUMIF(Calculator!$I$2:$I$28,"Set Pieces",Calculator!$K$2:$K$28)+SUMIF(Calculator!$AA$2:$AA$28,"Set Pieces",Calculator!$K$2:$K$28)</f>
        <v>0</v>
      </c>
      <c r="E8">
        <f ca="1">COUNTIF(Calculator!$I$2:$I$28,"Set Pieces")+COUNTIF(Calculator!$AA$2:$AA$28,"Set Pieces")</f>
        <v>0</v>
      </c>
      <c r="F8">
        <f ca="1">MAX(Calculator!$Y$2:$Y$28)-MIN(Calculator!$X$2:$X$28)</f>
        <v>0</v>
      </c>
    </row>
    <row r="9" spans="1:8" x14ac:dyDescent="0.35">
      <c r="A9" t="s">
        <v>49</v>
      </c>
      <c r="B9">
        <f>SUMIF(Calculator!$H$2:$H$28,"Individual",Calculator!$J$2:$J$28)</f>
        <v>0</v>
      </c>
      <c r="C9">
        <f>COUNTIF(Calculator!$H$2:$H$28,"Individual")</f>
        <v>0</v>
      </c>
      <c r="D9">
        <f ca="1">SUMIF(Calculator!$I$2:$I$28,"Individual",Calculator!$K$2:$K$28)</f>
        <v>0.914705737449376</v>
      </c>
      <c r="E9">
        <f>COUNTIF(Calculator!$I$2:$I$28,"Individual")</f>
        <v>14</v>
      </c>
      <c r="F9">
        <f ca="1">D9+B9</f>
        <v>0.914705737449376</v>
      </c>
    </row>
    <row r="10" spans="1:8" x14ac:dyDescent="0.35">
      <c r="A10" t="s">
        <v>66</v>
      </c>
      <c r="B10">
        <f ca="1">SUM(B2:B8)</f>
        <v>3.3229799146572065</v>
      </c>
      <c r="D10">
        <f ca="1">SUM(D2:D8)</f>
        <v>1.4538537490049392</v>
      </c>
      <c r="F10">
        <f ca="1">SUM(F2:F8)</f>
        <v>4.7768336636621491</v>
      </c>
    </row>
    <row r="12" spans="1:8" x14ac:dyDescent="0.35">
      <c r="B12" t="s">
        <v>70</v>
      </c>
      <c r="C12" t="s">
        <v>71</v>
      </c>
      <c r="D12" t="s">
        <v>72</v>
      </c>
    </row>
    <row r="13" spans="1:8" x14ac:dyDescent="0.35">
      <c r="A13" t="s">
        <v>69</v>
      </c>
      <c r="B13" s="15">
        <v>15</v>
      </c>
      <c r="C13" s="15">
        <v>85</v>
      </c>
      <c r="D13">
        <f>B13+C13/112</f>
        <v>15.758928571428571</v>
      </c>
    </row>
    <row r="15" spans="1:8" x14ac:dyDescent="0.35">
      <c r="B15" t="s">
        <v>75</v>
      </c>
    </row>
    <row r="16" spans="1:8" x14ac:dyDescent="0.35">
      <c r="A16" t="s">
        <v>74</v>
      </c>
      <c r="B16" s="15">
        <v>1</v>
      </c>
    </row>
    <row r="17" spans="1:2" x14ac:dyDescent="0.35">
      <c r="A17" t="s">
        <v>73</v>
      </c>
      <c r="B17" s="15">
        <v>5.8</v>
      </c>
    </row>
    <row r="18" spans="1:2" x14ac:dyDescent="0.35">
      <c r="A18" t="s">
        <v>14</v>
      </c>
      <c r="B18" s="15">
        <v>5</v>
      </c>
    </row>
    <row r="19" spans="1:2" x14ac:dyDescent="0.35">
      <c r="A19" t="s">
        <v>17</v>
      </c>
      <c r="B19" s="15">
        <v>3</v>
      </c>
    </row>
    <row r="20" spans="1:2" x14ac:dyDescent="0.35">
      <c r="A20" t="s">
        <v>16</v>
      </c>
      <c r="B20" s="15">
        <v>3</v>
      </c>
    </row>
    <row r="21" spans="1:2" x14ac:dyDescent="0.35">
      <c r="A21" t="s">
        <v>15</v>
      </c>
      <c r="B21" s="15">
        <v>3</v>
      </c>
    </row>
    <row r="22" spans="1:2" x14ac:dyDescent="0.35">
      <c r="A22" t="s">
        <v>48</v>
      </c>
      <c r="B22" s="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6A2-0260-46A9-97B7-C8DAD3B750DD}">
  <sheetPr>
    <tabColor theme="9"/>
  </sheetPr>
  <dimension ref="A1:AA28"/>
  <sheetViews>
    <sheetView tabSelected="1" workbookViewId="0"/>
  </sheetViews>
  <sheetFormatPr defaultRowHeight="14.5" x14ac:dyDescent="0.35"/>
  <cols>
    <col min="8" max="8" width="14.54296875" bestFit="1" customWidth="1"/>
    <col min="9" max="9" width="17.1796875" bestFit="1" customWidth="1"/>
    <col min="10" max="10" width="12.1796875" bestFit="1" customWidth="1"/>
    <col min="11" max="11" width="14.26953125" bestFit="1" customWidth="1"/>
    <col min="26" max="26" width="11.26953125" customWidth="1"/>
    <col min="27" max="27" width="11.08984375" customWidth="1"/>
  </cols>
  <sheetData>
    <row r="1" spans="1:27" ht="43.5" x14ac:dyDescent="0.35">
      <c r="A1" s="16" t="s">
        <v>0</v>
      </c>
      <c r="B1" s="16" t="s">
        <v>1</v>
      </c>
      <c r="C1" s="16" t="s">
        <v>3</v>
      </c>
      <c r="D1" s="16" t="s">
        <v>6</v>
      </c>
      <c r="E1" s="16" t="s">
        <v>8</v>
      </c>
      <c r="F1" s="16" t="s">
        <v>7</v>
      </c>
      <c r="G1" s="16" t="s">
        <v>39</v>
      </c>
      <c r="H1" s="16" t="s">
        <v>25</v>
      </c>
      <c r="I1" s="16" t="s">
        <v>26</v>
      </c>
      <c r="J1" s="16" t="s">
        <v>27</v>
      </c>
      <c r="K1" s="16" t="s">
        <v>28</v>
      </c>
      <c r="L1" s="16" t="s">
        <v>11</v>
      </c>
      <c r="M1" s="16" t="s">
        <v>10</v>
      </c>
      <c r="N1" s="16" t="s">
        <v>12</v>
      </c>
      <c r="O1" s="16" t="s">
        <v>13</v>
      </c>
      <c r="P1" s="16" t="s">
        <v>29</v>
      </c>
      <c r="Q1" s="16" t="s">
        <v>30</v>
      </c>
      <c r="R1" s="16" t="s">
        <v>31</v>
      </c>
      <c r="S1" s="16" t="s">
        <v>32</v>
      </c>
      <c r="T1" s="16" t="s">
        <v>33</v>
      </c>
      <c r="U1" s="16" t="s">
        <v>34</v>
      </c>
      <c r="V1" s="16" t="s">
        <v>35</v>
      </c>
      <c r="W1" s="16" t="s">
        <v>36</v>
      </c>
      <c r="X1" s="16" t="s">
        <v>50</v>
      </c>
      <c r="Y1" s="16" t="s">
        <v>51</v>
      </c>
      <c r="Z1" s="16" t="s">
        <v>52</v>
      </c>
      <c r="AA1" s="16" t="s">
        <v>53</v>
      </c>
    </row>
    <row r="2" spans="1:27" x14ac:dyDescent="0.35">
      <c r="A2" s="14">
        <v>44981</v>
      </c>
      <c r="B2" s="15" t="s">
        <v>2</v>
      </c>
      <c r="C2" s="1">
        <f>IF(B2="Friendly",50%,100%)</f>
        <v>1</v>
      </c>
      <c r="D2">
        <f>Summary!$D$13</f>
        <v>15.758928571428571</v>
      </c>
      <c r="E2">
        <f>LEFT(D2,2)+0</f>
        <v>15</v>
      </c>
      <c r="F2">
        <f t="shared" ref="F2:F28" si="0">(D2-E2)*112</f>
        <v>84.999999999999972</v>
      </c>
      <c r="G2" s="15" t="s">
        <v>40</v>
      </c>
      <c r="H2" s="15" t="s">
        <v>9</v>
      </c>
      <c r="I2" s="15" t="s">
        <v>19</v>
      </c>
      <c r="J2" cm="1">
        <f t="array" aca="1" ref="J2" ca="1">C2*IF(H2="Individual",VLOOKUP(Z2,Individual!$A$10:$B$16,2,0),1)*1/OFFSET(INDIRECT("'Training Speed'!B"&amp;MATCH(IF(H2="Individual",Z2,H2),'Training Speed'!$A$1:$A$99,0)),FLOOR(OFFSET(L2,0,VLOOKUP(IF(H2="Individual",Z2,H2),'Training Speed'!$A$2:$M$99,13,0)),1),1+MATCH(D2,'Training Speed'!$D$1:$K$1,1))</f>
        <v>0.15060240963855423</v>
      </c>
      <c r="K2" cm="1">
        <f t="array" aca="1" ref="K2" ca="1">C2*0.667*IF(H2=I2,0.5,1)*IF(I2="Individual",VLOOKUP(AA2,Individual!$A$10:$B$16,2,0),1)*1/OFFSET(INDIRECT("'Training Speed'!B"&amp;MATCH(IF(I2="Individual",AA2,I2),'Training Speed'!$A$1:$A$99,0)),FLOOR(OFFSET(L2,0,VLOOKUP(IF(I2="Individual",AA2,I2),'Training Speed'!$A$2:$M$99,13,0)),1),1+MATCH(D2,'Training Speed'!$D$1:$K$1,1))</f>
        <v>5.0225903614457834E-2</v>
      </c>
      <c r="L2">
        <f>Summary!$B$17</f>
        <v>5.8</v>
      </c>
      <c r="M2">
        <f ca="1">L2+IF(OR($H2="Defending",$H2="Defensive Positions",$Z2="Defending"),$J2,0)+IF(OR($I2="Defending",$I2="Defensive Positions",$AA2="Defending"),$K2,0)</f>
        <v>6.0008283132530122</v>
      </c>
      <c r="N2">
        <f>Summary!$B$18</f>
        <v>5</v>
      </c>
      <c r="O2">
        <f ca="1">N2+IF(OR($H2="Playmaking",$Z2="Playmaking"),$J2,0)+IF(OR($I2="Playmaking",$AA2="Playmaking"),$K2,0)</f>
        <v>5</v>
      </c>
      <c r="P2">
        <f>Summary!$B$19</f>
        <v>3</v>
      </c>
      <c r="Q2">
        <f ca="1">P2+IF(OR($H2="Winger",$H2="Wing Attacks",$Z2="Winger"),$J2,0)+IF(OR($I2="Winger",$H2="Wing Attacks",$AA2="Winger"),$K2,0)</f>
        <v>3</v>
      </c>
      <c r="R2">
        <f>Summary!$B$20</f>
        <v>3</v>
      </c>
      <c r="S2">
        <f ca="1">R2+IF(OR($H2="Passing",$H2="Through Passes",$Z2="Passing"),$J2,0)+IF(OR($I2="Passing",$H2="Through Passes",$AA2="Passing"),$K2,0)</f>
        <v>3</v>
      </c>
      <c r="T2">
        <f>Summary!$B$21</f>
        <v>3</v>
      </c>
      <c r="U2">
        <f ca="1">T2+IF(OR($H2="Scoring",$H2="Shooting",$Z2="Scoring"),$J2,0)+IF(OR($I2="Scoring",$H2="Shooting",$AA2="Scoring"),$K2,0)</f>
        <v>3</v>
      </c>
      <c r="V2">
        <f>Summary!$B$16</f>
        <v>1</v>
      </c>
      <c r="W2">
        <f ca="1">V2+IF(OR($H2="Keeper",$Z2="Keeper"),$J2,0)+IF(OR($I2="Keeper",$AA2="Keeper"),$K2,0)</f>
        <v>1</v>
      </c>
      <c r="X2">
        <f>Summary!$B$22</f>
        <v>3</v>
      </c>
      <c r="Y2">
        <f ca="1">X2+IF(OR($H2="Set Pieces",$Z2="Set Pieces"),$J2,0)+IF(OR($I2="Set Pieces",$AA2="Set Pieces"),$K2,0)</f>
        <v>3</v>
      </c>
      <c r="Z2" t="str">
        <f ca="1">IF(H2="Individual",VLOOKUP(RAND(),Individual!$A$18:$G$118,MATCH($G2,Individual!$A$18:$G$18,0),1),"None")</f>
        <v>None</v>
      </c>
      <c r="AA2" t="str">
        <f ca="1">IF(I2="Individual",VLOOKUP(RAND(),Individual!$A$18:$G$118,MATCH($G2,Individual!$A$18:$G$18,0),1),"None")</f>
        <v>None</v>
      </c>
    </row>
    <row r="3" spans="1:27" x14ac:dyDescent="0.35">
      <c r="A3" s="14">
        <f>A2+7</f>
        <v>44988</v>
      </c>
      <c r="B3" s="15" t="s">
        <v>2</v>
      </c>
      <c r="C3" s="1">
        <f t="shared" ref="C3:C28" si="1">IF(B3="Friendly",50%,100%)</f>
        <v>1</v>
      </c>
      <c r="D3">
        <f>D2+(A3-A2)/112</f>
        <v>15.821428571428571</v>
      </c>
      <c r="E3">
        <f>LEFT(D3,2)+0</f>
        <v>15</v>
      </c>
      <c r="F3">
        <f t="shared" si="0"/>
        <v>91.999999999999972</v>
      </c>
      <c r="G3" s="15" t="s">
        <v>42</v>
      </c>
      <c r="H3" s="15" t="s">
        <v>14</v>
      </c>
      <c r="I3" s="15" t="s">
        <v>14</v>
      </c>
      <c r="J3" cm="1">
        <f t="array" aca="1" ref="J3" ca="1">C3*IF(H3="Individual",VLOOKUP(Z3,Individual!$A$10:$B$16,2,0),1)*1/OFFSET(INDIRECT("'Training Speed'!B"&amp;MATCH(IF(H3="Individual",Z3,H3),'Training Speed'!$A$1:$A$99,0)),FLOOR(OFFSET(L3,0,VLOOKUP(IF(H3="Individual",Z3,H3),'Training Speed'!$A$2:$M$99,13,0)),1),1+MATCH(D3,'Training Speed'!$D$1:$K$1,1))</f>
        <v>0.16051364365971107</v>
      </c>
      <c r="K3" cm="1">
        <f t="array" aca="1" ref="K3" ca="1">C3*0.667*IF(H3=I3,0.5,1)*IF(I3="Individual",VLOOKUP(AA3,Individual!$A$10:$B$16,2,0),1)*1/OFFSET(INDIRECT("'Training Speed'!B"&amp;MATCH(IF(I3="Individual",AA3,I3),'Training Speed'!$A$1:$A$99,0)),FLOOR(OFFSET(L3,0,VLOOKUP(IF(I3="Individual",AA3,I3),'Training Speed'!$A$2:$M$99,13,0)),1),1+MATCH(D3,'Training Speed'!$D$1:$K$1,1))</f>
        <v>5.3531300160513641E-2</v>
      </c>
      <c r="L3">
        <f ca="1">M2</f>
        <v>6.0008283132530122</v>
      </c>
      <c r="M3">
        <f t="shared" ref="M3:M28" ca="1" si="2">L3+IF(OR($H3="Defending",$H3="Defensive Positions",$Z3="Defending"),$J3,0)+IF(OR($I3="Defending",$I3="Defensive Positions",$AA3="Defending"),$K3,0)</f>
        <v>6.0008283132530122</v>
      </c>
      <c r="N3">
        <f ca="1">O2</f>
        <v>5</v>
      </c>
      <c r="O3">
        <f t="shared" ref="O3:O28" ca="1" si="3">N3+IF(OR($H3="Playmaking",$Z3="Playmaking"),$J3,0)+IF(OR($I3="Playmaking",$AA3="Playmaking"),$K3,0)</f>
        <v>5.214044943820225</v>
      </c>
      <c r="P3">
        <f ca="1">Q2</f>
        <v>3</v>
      </c>
      <c r="Q3">
        <f t="shared" ref="Q3:Q28" ca="1" si="4">P3+IF(OR($H3="Winger",$H3="Wing Attacks",$Z3="Winger"),$J3,0)+IF(OR($I3="Winger",$H3="Wing Attacks",$AA3="Winger"),$K3,0)</f>
        <v>3</v>
      </c>
      <c r="R3">
        <f ca="1">S2</f>
        <v>3</v>
      </c>
      <c r="S3">
        <f t="shared" ref="S3:S28" ca="1" si="5">R3+IF(OR($H3="Passing",$H3="Through Passes",$Z3="Passing"),$J3,0)+IF(OR($I3="Passing",$H3="Through Passes",$AA3="Passing"),$K3,0)</f>
        <v>3</v>
      </c>
      <c r="T3">
        <f ca="1">U2</f>
        <v>3</v>
      </c>
      <c r="U3">
        <f t="shared" ref="U3:U28" ca="1" si="6">T3+IF(OR($H3="Scoring",$H3="Shooting",$Z3="Scoring"),$J3,0)+IF(OR($I3="Scoring",$H3="Shooting",$AA3="Scoring"),$K3,0)</f>
        <v>3</v>
      </c>
      <c r="V3">
        <f ca="1">W2</f>
        <v>1</v>
      </c>
      <c r="W3">
        <f t="shared" ref="W3:W28" ca="1" si="7">V3+IF(OR($H3="Keeper",$Z3="Keeper"),$J3,0)+IF(OR($I3="Keeper",$AA3="Keeper"),$K3,0)</f>
        <v>1</v>
      </c>
      <c r="X3">
        <f ca="1">Y2</f>
        <v>3</v>
      </c>
      <c r="Y3">
        <f ca="1">X3+IF(OR($H3="Set Pieces",$Z3="Set Pieces"),$J3,0)+IF(OR($I3="Set Pieces",$AA3="Set Pieces"),$K3,0)</f>
        <v>3</v>
      </c>
      <c r="Z3" t="str">
        <f ca="1">IF(H3="Individual",VLOOKUP(RAND(),Individual!$A$18:$G$118,MATCH($G3,Individual!$A$18:$G$18,0),1),"None")</f>
        <v>None</v>
      </c>
      <c r="AA3" t="str">
        <f ca="1">IF(I3="Individual",VLOOKUP(RAND(),Individual!$A$18:$G$118,MATCH($G3,Individual!$A$18:$G$18,0),1),"None")</f>
        <v>None</v>
      </c>
    </row>
    <row r="4" spans="1:27" x14ac:dyDescent="0.35">
      <c r="A4" s="14">
        <f>A3+7</f>
        <v>44995</v>
      </c>
      <c r="B4" s="15" t="s">
        <v>2</v>
      </c>
      <c r="C4" s="1">
        <f t="shared" si="1"/>
        <v>1</v>
      </c>
      <c r="D4">
        <f t="shared" ref="D4:D28" si="8">D3+(A4-A3)/112</f>
        <v>15.883928571428571</v>
      </c>
      <c r="E4">
        <f t="shared" ref="E4:E28" si="9">LEFT(D4,2)+0</f>
        <v>15</v>
      </c>
      <c r="F4">
        <f t="shared" si="0"/>
        <v>98.999999999999972</v>
      </c>
      <c r="G4" s="15" t="s">
        <v>42</v>
      </c>
      <c r="H4" s="15" t="s">
        <v>14</v>
      </c>
      <c r="I4" s="15" t="s">
        <v>49</v>
      </c>
      <c r="J4" cm="1">
        <f t="array" aca="1" ref="J4" ca="1">C4*IF(H4="Individual",VLOOKUP(Z4,Individual!$A$10:$B$16,2,0),1)*1/OFFSET(INDIRECT("'Training Speed'!B"&amp;MATCH(IF(H4="Individual",Z4,H4),'Training Speed'!$A$1:$A$99,0)),FLOOR(OFFSET(L4,0,VLOOKUP(IF(H4="Individual",Z4,H4),'Training Speed'!$A$2:$M$99,13,0)),1),1+MATCH(D4,'Training Speed'!$D$1:$K$1,1))</f>
        <v>0.16051364365971107</v>
      </c>
      <c r="K4" cm="1">
        <f t="array" aca="1" ref="K4" ca="1">C4*0.667*IF(H4=I4,0.5,1)*IF(I4="Individual",VLOOKUP(AA4,Individual!$A$10:$B$16,2,0),1)*1/OFFSET(INDIRECT("'Training Speed'!B"&amp;MATCH(IF(I4="Individual",AA4,I4),'Training Speed'!$A$1:$A$99,0)),FLOOR(OFFSET(L4,0,VLOOKUP(IF(I4="Individual",AA4,I4),'Training Speed'!$A$2:$M$99,13,0)),1),1+MATCH(D4,'Training Speed'!$D$1:$K$1,1))</f>
        <v>0.13983228511530402</v>
      </c>
      <c r="L4">
        <f t="shared" ref="L4:L28" ca="1" si="10">M3</f>
        <v>6.0008283132530122</v>
      </c>
      <c r="M4">
        <f t="shared" ca="1" si="2"/>
        <v>6.0008283132530122</v>
      </c>
      <c r="N4">
        <f t="shared" ref="N4:N28" ca="1" si="11">O3</f>
        <v>5.214044943820225</v>
      </c>
      <c r="O4">
        <f t="shared" ca="1" si="3"/>
        <v>5.3745585874799362</v>
      </c>
      <c r="P4">
        <f t="shared" ref="P4:P28" ca="1" si="12">Q3</f>
        <v>3</v>
      </c>
      <c r="Q4">
        <f t="shared" ca="1" si="4"/>
        <v>3</v>
      </c>
      <c r="R4">
        <f t="shared" ref="R4:R28" ca="1" si="13">S3</f>
        <v>3</v>
      </c>
      <c r="S4">
        <f t="shared" ca="1" si="5"/>
        <v>3.139832285115304</v>
      </c>
      <c r="T4">
        <f t="shared" ref="T4:T28" ca="1" si="14">U3</f>
        <v>3</v>
      </c>
      <c r="U4">
        <f t="shared" ca="1" si="6"/>
        <v>3</v>
      </c>
      <c r="V4">
        <f t="shared" ref="V4:V28" ca="1" si="15">W3</f>
        <v>1</v>
      </c>
      <c r="W4">
        <f t="shared" ca="1" si="7"/>
        <v>1</v>
      </c>
      <c r="X4">
        <f t="shared" ref="X4:X28" ca="1" si="16">Y3</f>
        <v>3</v>
      </c>
      <c r="Y4">
        <f t="shared" ref="Y4:Y28" ca="1" si="17">X4+IF(OR($H4="Set Pieces",$Z4="Set Pieces"),$J4,0)+IF(OR($I4="Set Pieces",$AA4="Set Pieces"),$K4,0)</f>
        <v>3</v>
      </c>
      <c r="Z4" t="str">
        <f ca="1">IF(H4="Individual",VLOOKUP(RAND(),Individual!$A$18:$G$118,MATCH($G4,Individual!$A$18:$G$18,0),1),"None")</f>
        <v>None</v>
      </c>
      <c r="AA4" t="str">
        <f ca="1">IF(I4="Individual",VLOOKUP(RAND(),Individual!$A$18:$G$118,MATCH($G4,Individual!$A$18:$G$18,0),1),"None")</f>
        <v>Passing</v>
      </c>
    </row>
    <row r="5" spans="1:27" x14ac:dyDescent="0.35">
      <c r="A5" s="14">
        <f>A4+4</f>
        <v>44999</v>
      </c>
      <c r="B5" s="15" t="s">
        <v>4</v>
      </c>
      <c r="C5" s="1">
        <f t="shared" si="1"/>
        <v>0.5</v>
      </c>
      <c r="D5">
        <f t="shared" si="8"/>
        <v>15.919642857142858</v>
      </c>
      <c r="E5">
        <f t="shared" si="9"/>
        <v>15</v>
      </c>
      <c r="F5">
        <f t="shared" si="0"/>
        <v>103.00000000000006</v>
      </c>
      <c r="G5" s="15" t="s">
        <v>42</v>
      </c>
      <c r="H5" s="15" t="s">
        <v>14</v>
      </c>
      <c r="I5" s="15" t="s">
        <v>49</v>
      </c>
      <c r="J5" cm="1">
        <f t="array" aca="1" ref="J5" ca="1">C5*IF(H5="Individual",VLOOKUP(Z5,Individual!$A$10:$B$16,2,0),1)*1/OFFSET(INDIRECT("'Training Speed'!B"&amp;MATCH(IF(H5="Individual",Z5,H5),'Training Speed'!$A$1:$A$99,0)),FLOOR(OFFSET(L5,0,VLOOKUP(IF(H5="Individual",Z5,H5),'Training Speed'!$A$2:$M$99,13,0)),1),1+MATCH(D5,'Training Speed'!$D$1:$K$1,1))</f>
        <v>8.0256821829855537E-2</v>
      </c>
      <c r="K5" cm="1">
        <f t="array" aca="1" ref="K5" ca="1">C5*0.667*IF(H5=I5,0.5,1)*IF(I5="Individual",VLOOKUP(AA5,Individual!$A$10:$B$16,2,0),1)*1/OFFSET(INDIRECT("'Training Speed'!B"&amp;MATCH(IF(I5="Individual",AA5,I5),'Training Speed'!$A$1:$A$99,0)),FLOOR(OFFSET(L5,0,VLOOKUP(IF(I5="Individual",AA5,I5),'Training Speed'!$A$2:$M$99,13,0)),1),1+MATCH(D5,'Training Speed'!$D$1:$K$1,1))</f>
        <v>3.2870143884892088E-2</v>
      </c>
      <c r="L5">
        <f t="shared" ca="1" si="10"/>
        <v>6.0008283132530122</v>
      </c>
      <c r="M5">
        <f t="shared" ca="1" si="2"/>
        <v>6.0336984571379046</v>
      </c>
      <c r="N5">
        <f t="shared" ca="1" si="11"/>
        <v>5.3745585874799362</v>
      </c>
      <c r="O5">
        <f t="shared" ca="1" si="3"/>
        <v>5.4548154093097914</v>
      </c>
      <c r="P5">
        <f t="shared" ca="1" si="12"/>
        <v>3</v>
      </c>
      <c r="Q5">
        <f t="shared" ca="1" si="4"/>
        <v>3</v>
      </c>
      <c r="R5">
        <f t="shared" ca="1" si="13"/>
        <v>3.139832285115304</v>
      </c>
      <c r="S5">
        <f t="shared" ca="1" si="5"/>
        <v>3.139832285115304</v>
      </c>
      <c r="T5">
        <f t="shared" ca="1" si="14"/>
        <v>3</v>
      </c>
      <c r="U5">
        <f t="shared" ca="1" si="6"/>
        <v>3</v>
      </c>
      <c r="V5">
        <f t="shared" ca="1" si="15"/>
        <v>1</v>
      </c>
      <c r="W5">
        <f t="shared" ca="1" si="7"/>
        <v>1</v>
      </c>
      <c r="X5">
        <f t="shared" ca="1" si="16"/>
        <v>3</v>
      </c>
      <c r="Y5">
        <f t="shared" ca="1" si="17"/>
        <v>3</v>
      </c>
      <c r="Z5" t="str">
        <f ca="1">IF(H5="Individual",VLOOKUP(RAND(),Individual!$A$18:$G$118,MATCH($G5,Individual!$A$18:$G$18,0),1),"None")</f>
        <v>None</v>
      </c>
      <c r="AA5" t="str">
        <f ca="1">IF(I5="Individual",VLOOKUP(RAND(),Individual!$A$18:$G$118,MATCH($G5,Individual!$A$18:$G$18,0),1),"None")</f>
        <v>Defending</v>
      </c>
    </row>
    <row r="6" spans="1:27" x14ac:dyDescent="0.35">
      <c r="A6" s="14">
        <f>A5+3</f>
        <v>45002</v>
      </c>
      <c r="B6" s="15" t="s">
        <v>2</v>
      </c>
      <c r="C6" s="1">
        <f t="shared" si="1"/>
        <v>1</v>
      </c>
      <c r="D6">
        <f t="shared" si="8"/>
        <v>15.946428571428571</v>
      </c>
      <c r="E6">
        <f t="shared" si="9"/>
        <v>15</v>
      </c>
      <c r="F6">
        <f t="shared" si="0"/>
        <v>105.99999999999997</v>
      </c>
      <c r="G6" s="15" t="s">
        <v>42</v>
      </c>
      <c r="H6" s="15" t="s">
        <v>14</v>
      </c>
      <c r="I6" s="15" t="s">
        <v>49</v>
      </c>
      <c r="J6" cm="1">
        <f t="array" aca="1" ref="J6" ca="1">C6*IF(H6="Individual",VLOOKUP(Z6,Individual!$A$10:$B$16,2,0),1)*1/OFFSET(INDIRECT("'Training Speed'!B"&amp;MATCH(IF(H6="Individual",Z6,H6),'Training Speed'!$A$1:$A$99,0)),FLOOR(OFFSET(L6,0,VLOOKUP(IF(H6="Individual",Z6,H6),'Training Speed'!$A$2:$M$99,13,0)),1),1+MATCH(D6,'Training Speed'!$D$1:$K$1,1))</f>
        <v>0.16051364365971107</v>
      </c>
      <c r="K6" cm="1">
        <f t="array" aca="1" ref="K6" ca="1">C6*0.667*IF(H6=I6,0.5,1)*IF(I6="Individual",VLOOKUP(AA6,Individual!$A$10:$B$16,2,0),1)*1/OFFSET(INDIRECT("'Training Speed'!B"&amp;MATCH(IF(I6="Individual",AA6,I6),'Training Speed'!$A$1:$A$99,0)),FLOOR(OFFSET(L6,0,VLOOKUP(IF(I6="Individual",AA6,I6),'Training Speed'!$A$2:$M$99,13,0)),1),1+MATCH(D6,'Training Speed'!$D$1:$K$1,1))</f>
        <v>0.13983228511530402</v>
      </c>
      <c r="L6">
        <f t="shared" ca="1" si="10"/>
        <v>6.0336984571379046</v>
      </c>
      <c r="M6">
        <f t="shared" ca="1" si="2"/>
        <v>6.0336984571379046</v>
      </c>
      <c r="N6">
        <f t="shared" ca="1" si="11"/>
        <v>5.4548154093097914</v>
      </c>
      <c r="O6">
        <f t="shared" ca="1" si="3"/>
        <v>5.6153290529695026</v>
      </c>
      <c r="P6">
        <f t="shared" ca="1" si="12"/>
        <v>3</v>
      </c>
      <c r="Q6">
        <f t="shared" ca="1" si="4"/>
        <v>3</v>
      </c>
      <c r="R6">
        <f t="shared" ca="1" si="13"/>
        <v>3.139832285115304</v>
      </c>
      <c r="S6">
        <f t="shared" ca="1" si="5"/>
        <v>3.279664570230608</v>
      </c>
      <c r="T6">
        <f t="shared" ca="1" si="14"/>
        <v>3</v>
      </c>
      <c r="U6">
        <f t="shared" ca="1" si="6"/>
        <v>3</v>
      </c>
      <c r="V6">
        <f t="shared" ca="1" si="15"/>
        <v>1</v>
      </c>
      <c r="W6">
        <f t="shared" ca="1" si="7"/>
        <v>1</v>
      </c>
      <c r="X6">
        <f t="shared" ca="1" si="16"/>
        <v>3</v>
      </c>
      <c r="Y6">
        <f t="shared" ca="1" si="17"/>
        <v>3</v>
      </c>
      <c r="Z6" t="str">
        <f ca="1">IF(H6="Individual",VLOOKUP(RAND(),Individual!$A$18:$G$118,MATCH($G6,Individual!$A$18:$G$18,0),1),"None")</f>
        <v>None</v>
      </c>
      <c r="AA6" t="str">
        <f ca="1">IF(I6="Individual",VLOOKUP(RAND(),Individual!$A$18:$G$118,MATCH($G6,Individual!$A$18:$G$18,0),1),"None")</f>
        <v>Passing</v>
      </c>
    </row>
    <row r="7" spans="1:27" x14ac:dyDescent="0.35">
      <c r="A7" s="14">
        <f>A6+7</f>
        <v>45009</v>
      </c>
      <c r="B7" s="15" t="s">
        <v>2</v>
      </c>
      <c r="C7" s="1">
        <f t="shared" si="1"/>
        <v>1</v>
      </c>
      <c r="D7">
        <f t="shared" si="8"/>
        <v>16.008928571428569</v>
      </c>
      <c r="E7">
        <f t="shared" si="9"/>
        <v>16</v>
      </c>
      <c r="F7">
        <f t="shared" si="0"/>
        <v>0.99999999999977263</v>
      </c>
      <c r="G7" s="15" t="s">
        <v>42</v>
      </c>
      <c r="H7" s="15" t="s">
        <v>14</v>
      </c>
      <c r="I7" s="15" t="s">
        <v>49</v>
      </c>
      <c r="J7" cm="1">
        <f t="array" aca="1" ref="J7" ca="1">C7*IF(H7="Individual",VLOOKUP(Z7,Individual!$A$10:$B$16,2,0),1)*1/OFFSET(INDIRECT("'Training Speed'!B"&amp;MATCH(IF(H7="Individual",Z7,H7),'Training Speed'!$A$1:$A$99,0)),FLOOR(OFFSET(L7,0,VLOOKUP(IF(H7="Individual",Z7,H7),'Training Speed'!$A$2:$M$99,13,0)),1),1+MATCH(D7,'Training Speed'!$D$1:$K$1,1))</f>
        <v>0.15037593984962405</v>
      </c>
      <c r="K7" cm="1">
        <f t="array" aca="1" ref="K7" ca="1">C7*0.667*IF(H7=I7,0.5,1)*IF(I7="Individual",VLOOKUP(AA7,Individual!$A$10:$B$16,2,0),1)*1/OFFSET(INDIRECT("'Training Speed'!B"&amp;MATCH(IF(I7="Individual",AA7,I7),'Training Speed'!$A$1:$A$99,0)),FLOOR(OFFSET(L7,0,VLOOKUP(IF(I7="Individual",AA7,I7),'Training Speed'!$A$2:$M$99,13,0)),1),1+MATCH(D7,'Training Speed'!$D$1:$K$1,1))</f>
        <v>6.1576145552560656E-2</v>
      </c>
      <c r="L7">
        <f t="shared" ca="1" si="10"/>
        <v>6.0336984571379046</v>
      </c>
      <c r="M7">
        <f t="shared" ca="1" si="2"/>
        <v>6.0952746026904654</v>
      </c>
      <c r="N7">
        <f t="shared" ca="1" si="11"/>
        <v>5.6153290529695026</v>
      </c>
      <c r="O7">
        <f t="shared" ca="1" si="3"/>
        <v>5.7657049928191269</v>
      </c>
      <c r="P7">
        <f t="shared" ca="1" si="12"/>
        <v>3</v>
      </c>
      <c r="Q7">
        <f t="shared" ca="1" si="4"/>
        <v>3</v>
      </c>
      <c r="R7">
        <f t="shared" ca="1" si="13"/>
        <v>3.279664570230608</v>
      </c>
      <c r="S7">
        <f t="shared" ca="1" si="5"/>
        <v>3.279664570230608</v>
      </c>
      <c r="T7">
        <f t="shared" ca="1" si="14"/>
        <v>3</v>
      </c>
      <c r="U7">
        <f t="shared" ca="1" si="6"/>
        <v>3</v>
      </c>
      <c r="V7">
        <f t="shared" ca="1" si="15"/>
        <v>1</v>
      </c>
      <c r="W7">
        <f t="shared" ca="1" si="7"/>
        <v>1</v>
      </c>
      <c r="X7">
        <f t="shared" ca="1" si="16"/>
        <v>3</v>
      </c>
      <c r="Y7">
        <f t="shared" ca="1" si="17"/>
        <v>3</v>
      </c>
      <c r="Z7" t="str">
        <f ca="1">IF(H7="Individual",VLOOKUP(RAND(),Individual!$A$18:$G$118,MATCH($G7,Individual!$A$18:$G$18,0),1),"None")</f>
        <v>None</v>
      </c>
      <c r="AA7" t="str">
        <f ca="1">IF(I7="Individual",VLOOKUP(RAND(),Individual!$A$18:$G$118,MATCH($G7,Individual!$A$18:$G$18,0),1),"None")</f>
        <v>Defending</v>
      </c>
    </row>
    <row r="8" spans="1:27" x14ac:dyDescent="0.35">
      <c r="A8" s="14">
        <f>A7+7</f>
        <v>45016</v>
      </c>
      <c r="B8" s="15" t="s">
        <v>2</v>
      </c>
      <c r="C8" s="1">
        <f t="shared" si="1"/>
        <v>1</v>
      </c>
      <c r="D8">
        <f t="shared" si="8"/>
        <v>16.071428571428569</v>
      </c>
      <c r="E8">
        <f t="shared" si="9"/>
        <v>16</v>
      </c>
      <c r="F8">
        <f t="shared" si="0"/>
        <v>7.9999999999997726</v>
      </c>
      <c r="G8" s="15" t="s">
        <v>42</v>
      </c>
      <c r="H8" s="15" t="s">
        <v>14</v>
      </c>
      <c r="I8" s="15" t="s">
        <v>49</v>
      </c>
      <c r="J8" cm="1">
        <f t="array" aca="1" ref="J8" ca="1">C8*IF(H8="Individual",VLOOKUP(Z8,Individual!$A$10:$B$16,2,0),1)*1/OFFSET(INDIRECT("'Training Speed'!B"&amp;MATCH(IF(H8="Individual",Z8,H8),'Training Speed'!$A$1:$A$99,0)),FLOOR(OFFSET(L8,0,VLOOKUP(IF(H8="Individual",Z8,H8),'Training Speed'!$A$2:$M$99,13,0)),1),1+MATCH(D8,'Training Speed'!$D$1:$K$1,1))</f>
        <v>0.15037593984962405</v>
      </c>
      <c r="K8" cm="1">
        <f t="array" aca="1" ref="K8" ca="1">C8*0.667*IF(H8=I8,0.5,1)*IF(I8="Individual",VLOOKUP(AA8,Individual!$A$10:$B$16,2,0),1)*1/OFFSET(INDIRECT("'Training Speed'!B"&amp;MATCH(IF(I8="Individual",AA8,I8),'Training Speed'!$A$1:$A$99,0)),FLOOR(OFFSET(L8,0,VLOOKUP(IF(I8="Individual",AA8,I8),'Training Speed'!$A$2:$M$99,13,0)),1),1+MATCH(D8,'Training Speed'!$D$1:$K$1,1))</f>
        <v>5.6669924812030072E-2</v>
      </c>
      <c r="L8">
        <f t="shared" ca="1" si="10"/>
        <v>6.0952746026904654</v>
      </c>
      <c r="M8">
        <f t="shared" ca="1" si="2"/>
        <v>6.0952746026904654</v>
      </c>
      <c r="N8">
        <f t="shared" ca="1" si="11"/>
        <v>5.7657049928191269</v>
      </c>
      <c r="O8">
        <f t="shared" ca="1" si="3"/>
        <v>5.9727508574807811</v>
      </c>
      <c r="P8">
        <f t="shared" ca="1" si="12"/>
        <v>3</v>
      </c>
      <c r="Q8">
        <f t="shared" ca="1" si="4"/>
        <v>3</v>
      </c>
      <c r="R8">
        <f t="shared" ca="1" si="13"/>
        <v>3.279664570230608</v>
      </c>
      <c r="S8">
        <f t="shared" ca="1" si="5"/>
        <v>3.279664570230608</v>
      </c>
      <c r="T8">
        <f t="shared" ca="1" si="14"/>
        <v>3</v>
      </c>
      <c r="U8">
        <f t="shared" ca="1" si="6"/>
        <v>3</v>
      </c>
      <c r="V8">
        <f t="shared" ca="1" si="15"/>
        <v>1</v>
      </c>
      <c r="W8">
        <f t="shared" ca="1" si="7"/>
        <v>1</v>
      </c>
      <c r="X8">
        <f t="shared" ca="1" si="16"/>
        <v>3</v>
      </c>
      <c r="Y8">
        <f t="shared" ca="1" si="17"/>
        <v>3</v>
      </c>
      <c r="Z8" t="str">
        <f ca="1">IF(H8="Individual",VLOOKUP(RAND(),Individual!$A$18:$G$118,MATCH($G8,Individual!$A$18:$G$18,0),1),"None")</f>
        <v>None</v>
      </c>
      <c r="AA8" t="str">
        <f ca="1">IF(I8="Individual",VLOOKUP(RAND(),Individual!$A$18:$G$118,MATCH($G8,Individual!$A$18:$G$18,0),1),"None")</f>
        <v>Playmaking</v>
      </c>
    </row>
    <row r="9" spans="1:27" x14ac:dyDescent="0.35">
      <c r="A9" s="14">
        <f>A8+4</f>
        <v>45020</v>
      </c>
      <c r="B9" s="15" t="s">
        <v>4</v>
      </c>
      <c r="C9" s="1">
        <f t="shared" si="1"/>
        <v>0.5</v>
      </c>
      <c r="D9">
        <f t="shared" si="8"/>
        <v>16.107142857142854</v>
      </c>
      <c r="E9">
        <f t="shared" si="9"/>
        <v>16</v>
      </c>
      <c r="F9">
        <f t="shared" si="0"/>
        <v>11.999999999999659</v>
      </c>
      <c r="G9" s="15" t="s">
        <v>42</v>
      </c>
      <c r="H9" s="15" t="s">
        <v>14</v>
      </c>
      <c r="I9" s="15" t="s">
        <v>49</v>
      </c>
      <c r="J9" cm="1">
        <f t="array" aca="1" ref="J9" ca="1">C9*IF(H9="Individual",VLOOKUP(Z9,Individual!$A$10:$B$16,2,0),1)*1/OFFSET(INDIRECT("'Training Speed'!B"&amp;MATCH(IF(H9="Individual",Z9,H9),'Training Speed'!$A$1:$A$99,0)),FLOOR(OFFSET(L9,0,VLOOKUP(IF(H9="Individual",Z9,H9),'Training Speed'!$A$2:$M$99,13,0)),1),1+MATCH(D9,'Training Speed'!$D$1:$K$1,1))</f>
        <v>7.5187969924812026E-2</v>
      </c>
      <c r="K9" cm="1">
        <f t="array" aca="1" ref="K9" ca="1">C9*0.667*IF(H9=I9,0.5,1)*IF(I9="Individual",VLOOKUP(AA9,Individual!$A$10:$B$16,2,0),1)*1/OFFSET(INDIRECT("'Training Speed'!B"&amp;MATCH(IF(I9="Individual",AA9,I9),'Training Speed'!$A$1:$A$99,0)),FLOOR(OFFSET(L9,0,VLOOKUP(IF(I9="Individual",AA9,I9),'Training Speed'!$A$2:$M$99,13,0)),1),1+MATCH(D9,'Training Speed'!$D$1:$K$1,1))</f>
        <v>3.0788072776280328E-2</v>
      </c>
      <c r="L9">
        <f t="shared" ca="1" si="10"/>
        <v>6.0952746026904654</v>
      </c>
      <c r="M9">
        <f t="shared" ca="1" si="2"/>
        <v>6.1260626754667458</v>
      </c>
      <c r="N9">
        <f t="shared" ca="1" si="11"/>
        <v>5.9727508574807811</v>
      </c>
      <c r="O9">
        <f t="shared" ca="1" si="3"/>
        <v>6.0479388274055932</v>
      </c>
      <c r="P9">
        <f t="shared" ca="1" si="12"/>
        <v>3</v>
      </c>
      <c r="Q9">
        <f t="shared" ca="1" si="4"/>
        <v>3</v>
      </c>
      <c r="R9">
        <f t="shared" ca="1" si="13"/>
        <v>3.279664570230608</v>
      </c>
      <c r="S9">
        <f t="shared" ca="1" si="5"/>
        <v>3.279664570230608</v>
      </c>
      <c r="T9">
        <f t="shared" ca="1" si="14"/>
        <v>3</v>
      </c>
      <c r="U9">
        <f t="shared" ca="1" si="6"/>
        <v>3</v>
      </c>
      <c r="V9">
        <f t="shared" ca="1" si="15"/>
        <v>1</v>
      </c>
      <c r="W9">
        <f t="shared" ca="1" si="7"/>
        <v>1</v>
      </c>
      <c r="X9">
        <f t="shared" ca="1" si="16"/>
        <v>3</v>
      </c>
      <c r="Y9">
        <f t="shared" ca="1" si="17"/>
        <v>3</v>
      </c>
      <c r="Z9" t="str">
        <f ca="1">IF(H9="Individual",VLOOKUP(RAND(),Individual!$A$18:$G$118,MATCH($G9,Individual!$A$18:$G$18,0),1),"None")</f>
        <v>None</v>
      </c>
      <c r="AA9" t="str">
        <f ca="1">IF(I9="Individual",VLOOKUP(RAND(),Individual!$A$18:$G$118,MATCH($G9,Individual!$A$18:$G$18,0),1),"None")</f>
        <v>Defending</v>
      </c>
    </row>
    <row r="10" spans="1:27" x14ac:dyDescent="0.35">
      <c r="A10" s="14">
        <f>A9+3</f>
        <v>45023</v>
      </c>
      <c r="B10" s="15" t="s">
        <v>2</v>
      </c>
      <c r="C10" s="1">
        <f t="shared" si="1"/>
        <v>1</v>
      </c>
      <c r="D10">
        <f t="shared" si="8"/>
        <v>16.133928571428569</v>
      </c>
      <c r="E10">
        <f t="shared" si="9"/>
        <v>16</v>
      </c>
      <c r="F10">
        <f t="shared" si="0"/>
        <v>14.999999999999773</v>
      </c>
      <c r="G10" s="15" t="s">
        <v>42</v>
      </c>
      <c r="H10" s="15" t="s">
        <v>14</v>
      </c>
      <c r="I10" s="15" t="s">
        <v>49</v>
      </c>
      <c r="J10" cm="1">
        <f t="array" aca="1" ref="J10" ca="1">C10*IF(H10="Individual",VLOOKUP(Z10,Individual!$A$10:$B$16,2,0),1)*1/OFFSET(INDIRECT("'Training Speed'!B"&amp;MATCH(IF(H10="Individual",Z10,H10),'Training Speed'!$A$1:$A$99,0)),FLOOR(OFFSET(L10,0,VLOOKUP(IF(H10="Individual",Z10,H10),'Training Speed'!$A$2:$M$99,13,0)),1),1+MATCH(D10,'Training Speed'!$D$1:$K$1,1))</f>
        <v>0.14367816091954022</v>
      </c>
      <c r="K10" cm="1">
        <f t="array" aca="1" ref="K10" ca="1">C10*0.667*IF(H10=I10,0.5,1)*IF(I10="Individual",VLOOKUP(AA10,Individual!$A$10:$B$16,2,0),1)*1/OFFSET(INDIRECT("'Training Speed'!B"&amp;MATCH(IF(I10="Individual",AA10,I10),'Training Speed'!$A$1:$A$99,0)),FLOOR(OFFSET(L10,0,VLOOKUP(IF(I10="Individual",AA10,I10),'Training Speed'!$A$2:$M$99,13,0)),1),1+MATCH(D10,'Training Speed'!$D$1:$K$1,1))</f>
        <v>6.1576145552560656E-2</v>
      </c>
      <c r="L10">
        <f t="shared" ca="1" si="10"/>
        <v>6.1260626754667458</v>
      </c>
      <c r="M10">
        <f t="shared" ca="1" si="2"/>
        <v>6.1876388210193065</v>
      </c>
      <c r="N10">
        <f t="shared" ca="1" si="11"/>
        <v>6.0479388274055932</v>
      </c>
      <c r="O10">
        <f t="shared" ca="1" si="3"/>
        <v>6.1916169883251335</v>
      </c>
      <c r="P10">
        <f t="shared" ca="1" si="12"/>
        <v>3</v>
      </c>
      <c r="Q10">
        <f t="shared" ca="1" si="4"/>
        <v>3</v>
      </c>
      <c r="R10">
        <f t="shared" ca="1" si="13"/>
        <v>3.279664570230608</v>
      </c>
      <c r="S10">
        <f t="shared" ca="1" si="5"/>
        <v>3.279664570230608</v>
      </c>
      <c r="T10">
        <f t="shared" ca="1" si="14"/>
        <v>3</v>
      </c>
      <c r="U10">
        <f t="shared" ca="1" si="6"/>
        <v>3</v>
      </c>
      <c r="V10">
        <f t="shared" ca="1" si="15"/>
        <v>1</v>
      </c>
      <c r="W10">
        <f t="shared" ca="1" si="7"/>
        <v>1</v>
      </c>
      <c r="X10">
        <f t="shared" ca="1" si="16"/>
        <v>3</v>
      </c>
      <c r="Y10">
        <f t="shared" ca="1" si="17"/>
        <v>3</v>
      </c>
      <c r="Z10" t="str">
        <f ca="1">IF(H10="Individual",VLOOKUP(RAND(),Individual!$A$18:$G$118,MATCH($G10,Individual!$A$18:$G$18,0),1),"None")</f>
        <v>None</v>
      </c>
      <c r="AA10" t="str">
        <f ca="1">IF(I10="Individual",VLOOKUP(RAND(),Individual!$A$18:$G$118,MATCH($G10,Individual!$A$18:$G$18,0),1),"None")</f>
        <v>Defending</v>
      </c>
    </row>
    <row r="11" spans="1:27" x14ac:dyDescent="0.35">
      <c r="A11" s="14">
        <f>A10+7</f>
        <v>45030</v>
      </c>
      <c r="B11" s="15" t="s">
        <v>2</v>
      </c>
      <c r="C11" s="1">
        <f t="shared" si="1"/>
        <v>1</v>
      </c>
      <c r="D11">
        <f t="shared" si="8"/>
        <v>16.196428571428569</v>
      </c>
      <c r="E11">
        <f t="shared" si="9"/>
        <v>16</v>
      </c>
      <c r="F11">
        <f t="shared" si="0"/>
        <v>21.999999999999773</v>
      </c>
      <c r="G11" s="15" t="s">
        <v>42</v>
      </c>
      <c r="H11" s="15" t="s">
        <v>14</v>
      </c>
      <c r="I11" s="15" t="s">
        <v>49</v>
      </c>
      <c r="J11" cm="1">
        <f t="array" aca="1" ref="J11" ca="1">C11*IF(H11="Individual",VLOOKUP(Z11,Individual!$A$10:$B$16,2,0),1)*1/OFFSET(INDIRECT("'Training Speed'!B"&amp;MATCH(IF(H11="Individual",Z11,H11),'Training Speed'!$A$1:$A$99,0)),FLOOR(OFFSET(L11,0,VLOOKUP(IF(H11="Individual",Z11,H11),'Training Speed'!$A$2:$M$99,13,0)),1),1+MATCH(D11,'Training Speed'!$D$1:$K$1,1))</f>
        <v>0.14367816091954022</v>
      </c>
      <c r="K11" cm="1">
        <f t="array" aca="1" ref="K11" ca="1">C11*0.667*IF(H11=I11,0.5,1)*IF(I11="Individual",VLOOKUP(AA11,Individual!$A$10:$B$16,2,0),1)*1/OFFSET(INDIRECT("'Training Speed'!B"&amp;MATCH(IF(I11="Individual",AA11,I11),'Training Speed'!$A$1:$A$99,0)),FLOOR(OFFSET(L11,0,VLOOKUP(IF(I11="Individual",AA11,I11),'Training Speed'!$A$2:$M$99,13,0)),1),1+MATCH(D11,'Training Speed'!$D$1:$K$1,1))</f>
        <v>6.1576145552560656E-2</v>
      </c>
      <c r="L11">
        <f t="shared" ca="1" si="10"/>
        <v>6.1876388210193065</v>
      </c>
      <c r="M11">
        <f t="shared" ca="1" si="2"/>
        <v>6.2492149665718673</v>
      </c>
      <c r="N11">
        <f t="shared" ca="1" si="11"/>
        <v>6.1916169883251335</v>
      </c>
      <c r="O11">
        <f t="shared" ca="1" si="3"/>
        <v>6.3352951492446739</v>
      </c>
      <c r="P11">
        <f t="shared" ca="1" si="12"/>
        <v>3</v>
      </c>
      <c r="Q11">
        <f t="shared" ca="1" si="4"/>
        <v>3</v>
      </c>
      <c r="R11">
        <f t="shared" ca="1" si="13"/>
        <v>3.279664570230608</v>
      </c>
      <c r="S11">
        <f t="shared" ca="1" si="5"/>
        <v>3.279664570230608</v>
      </c>
      <c r="T11">
        <f t="shared" ca="1" si="14"/>
        <v>3</v>
      </c>
      <c r="U11">
        <f t="shared" ca="1" si="6"/>
        <v>3</v>
      </c>
      <c r="V11">
        <f t="shared" ca="1" si="15"/>
        <v>1</v>
      </c>
      <c r="W11">
        <f t="shared" ca="1" si="7"/>
        <v>1</v>
      </c>
      <c r="X11">
        <f t="shared" ca="1" si="16"/>
        <v>3</v>
      </c>
      <c r="Y11">
        <f t="shared" ca="1" si="17"/>
        <v>3</v>
      </c>
      <c r="Z11" t="str">
        <f ca="1">IF(H11="Individual",VLOOKUP(RAND(),Individual!$A$18:$G$118,MATCH($G11,Individual!$A$18:$G$18,0),1),"None")</f>
        <v>None</v>
      </c>
      <c r="AA11" t="str">
        <f ca="1">IF(I11="Individual",VLOOKUP(RAND(),Individual!$A$18:$G$118,MATCH($G11,Individual!$A$18:$G$18,0),1),"None")</f>
        <v>Defending</v>
      </c>
    </row>
    <row r="12" spans="1:27" x14ac:dyDescent="0.35">
      <c r="A12" s="14">
        <f>A11+7</f>
        <v>45037</v>
      </c>
      <c r="B12" s="15" t="s">
        <v>2</v>
      </c>
      <c r="C12" s="1">
        <f t="shared" si="1"/>
        <v>1</v>
      </c>
      <c r="D12">
        <f t="shared" si="8"/>
        <v>16.258928571428569</v>
      </c>
      <c r="E12">
        <f t="shared" si="9"/>
        <v>16</v>
      </c>
      <c r="F12">
        <f t="shared" si="0"/>
        <v>28.999999999999773</v>
      </c>
      <c r="G12" s="15" t="s">
        <v>42</v>
      </c>
      <c r="H12" s="15" t="s">
        <v>14</v>
      </c>
      <c r="I12" s="15" t="s">
        <v>49</v>
      </c>
      <c r="J12" cm="1">
        <f t="array" aca="1" ref="J12" ca="1">C12*IF(H12="Individual",VLOOKUP(Z12,Individual!$A$10:$B$16,2,0),1)*1/OFFSET(INDIRECT("'Training Speed'!B"&amp;MATCH(IF(H12="Individual",Z12,H12),'Training Speed'!$A$1:$A$99,0)),FLOOR(OFFSET(L12,0,VLOOKUP(IF(H12="Individual",Z12,H12),'Training Speed'!$A$2:$M$99,13,0)),1),1+MATCH(D12,'Training Speed'!$D$1:$K$1,1))</f>
        <v>0.14367816091954022</v>
      </c>
      <c r="K12" cm="1">
        <f t="array" aca="1" ref="K12" ca="1">C12*0.667*IF(H12=I12,0.5,1)*IF(I12="Individual",VLOOKUP(AA12,Individual!$A$10:$B$16,2,0),1)*1/OFFSET(INDIRECT("'Training Speed'!B"&amp;MATCH(IF(I12="Individual",AA12,I12),'Training Speed'!$A$1:$A$99,0)),FLOOR(OFFSET(L12,0,VLOOKUP(IF(I12="Individual",AA12,I12),'Training Speed'!$A$2:$M$99,13,0)),1),1+MATCH(D12,'Training Speed'!$D$1:$K$1,1))</f>
        <v>6.1576145552560656E-2</v>
      </c>
      <c r="L12">
        <f t="shared" ca="1" si="10"/>
        <v>6.2492149665718673</v>
      </c>
      <c r="M12">
        <f t="shared" ca="1" si="2"/>
        <v>6.310791112124428</v>
      </c>
      <c r="N12">
        <f t="shared" ca="1" si="11"/>
        <v>6.3352951492446739</v>
      </c>
      <c r="O12">
        <f t="shared" ca="1" si="3"/>
        <v>6.4789733101642142</v>
      </c>
      <c r="P12">
        <f t="shared" ca="1" si="12"/>
        <v>3</v>
      </c>
      <c r="Q12">
        <f t="shared" ca="1" si="4"/>
        <v>3</v>
      </c>
      <c r="R12">
        <f t="shared" ca="1" si="13"/>
        <v>3.279664570230608</v>
      </c>
      <c r="S12">
        <f t="shared" ca="1" si="5"/>
        <v>3.279664570230608</v>
      </c>
      <c r="T12">
        <f t="shared" ca="1" si="14"/>
        <v>3</v>
      </c>
      <c r="U12">
        <f t="shared" ca="1" si="6"/>
        <v>3</v>
      </c>
      <c r="V12">
        <f t="shared" ca="1" si="15"/>
        <v>1</v>
      </c>
      <c r="W12">
        <f t="shared" ca="1" si="7"/>
        <v>1</v>
      </c>
      <c r="X12">
        <f t="shared" ca="1" si="16"/>
        <v>3</v>
      </c>
      <c r="Y12">
        <f t="shared" ca="1" si="17"/>
        <v>3</v>
      </c>
      <c r="Z12" t="str">
        <f ca="1">IF(H12="Individual",VLOOKUP(RAND(),Individual!$A$18:$G$118,MATCH($G12,Individual!$A$18:$G$18,0),1),"None")</f>
        <v>None</v>
      </c>
      <c r="AA12" t="str">
        <f ca="1">IF(I12="Individual",VLOOKUP(RAND(),Individual!$A$18:$G$118,MATCH($G12,Individual!$A$18:$G$18,0),1),"None")</f>
        <v>Defending</v>
      </c>
    </row>
    <row r="13" spans="1:27" x14ac:dyDescent="0.35">
      <c r="A13" s="14">
        <f>A12+4</f>
        <v>45041</v>
      </c>
      <c r="B13" s="15" t="s">
        <v>4</v>
      </c>
      <c r="C13" s="1">
        <f t="shared" si="1"/>
        <v>0.5</v>
      </c>
      <c r="D13">
        <f t="shared" si="8"/>
        <v>16.294642857142854</v>
      </c>
      <c r="E13">
        <f t="shared" si="9"/>
        <v>16</v>
      </c>
      <c r="F13">
        <f t="shared" si="0"/>
        <v>32.999999999999659</v>
      </c>
      <c r="G13" s="15" t="s">
        <v>42</v>
      </c>
      <c r="H13" s="15" t="s">
        <v>14</v>
      </c>
      <c r="I13" s="15" t="s">
        <v>49</v>
      </c>
      <c r="J13" cm="1">
        <f t="array" aca="1" ref="J13" ca="1">C13*IF(H13="Individual",VLOOKUP(Z13,Individual!$A$10:$B$16,2,0),1)*1/OFFSET(INDIRECT("'Training Speed'!B"&amp;MATCH(IF(H13="Individual",Z13,H13),'Training Speed'!$A$1:$A$99,0)),FLOOR(OFFSET(L13,0,VLOOKUP(IF(H13="Individual",Z13,H13),'Training Speed'!$A$2:$M$99,13,0)),1),1+MATCH(D13,'Training Speed'!$D$1:$K$1,1))</f>
        <v>7.183908045977011E-2</v>
      </c>
      <c r="K13" cm="1">
        <f t="array" aca="1" ref="K13" ca="1">C13*0.667*IF(H13=I13,0.5,1)*IF(I13="Individual",VLOOKUP(AA13,Individual!$A$10:$B$16,2,0),1)*1/OFFSET(INDIRECT("'Training Speed'!B"&amp;MATCH(IF(I13="Individual",AA13,I13),'Training Speed'!$A$1:$A$99,0)),FLOOR(OFFSET(L13,0,VLOOKUP(IF(I13="Individual",AA13,I13),'Training Speed'!$A$2:$M$99,13,0)),1),1+MATCH(D13,'Training Speed'!$D$1:$K$1,1))</f>
        <v>3.0788072776280328E-2</v>
      </c>
      <c r="L13">
        <f t="shared" ca="1" si="10"/>
        <v>6.310791112124428</v>
      </c>
      <c r="M13">
        <f t="shared" ca="1" si="2"/>
        <v>6.3415791849007084</v>
      </c>
      <c r="N13">
        <f t="shared" ca="1" si="11"/>
        <v>6.4789733101642142</v>
      </c>
      <c r="O13">
        <f t="shared" ca="1" si="3"/>
        <v>6.5508123906239843</v>
      </c>
      <c r="P13">
        <f t="shared" ca="1" si="12"/>
        <v>3</v>
      </c>
      <c r="Q13">
        <f t="shared" ca="1" si="4"/>
        <v>3</v>
      </c>
      <c r="R13">
        <f t="shared" ca="1" si="13"/>
        <v>3.279664570230608</v>
      </c>
      <c r="S13">
        <f t="shared" ca="1" si="5"/>
        <v>3.279664570230608</v>
      </c>
      <c r="T13">
        <f t="shared" ca="1" si="14"/>
        <v>3</v>
      </c>
      <c r="U13">
        <f t="shared" ca="1" si="6"/>
        <v>3</v>
      </c>
      <c r="V13">
        <f t="shared" ca="1" si="15"/>
        <v>1</v>
      </c>
      <c r="W13">
        <f t="shared" ca="1" si="7"/>
        <v>1</v>
      </c>
      <c r="X13">
        <f t="shared" ca="1" si="16"/>
        <v>3</v>
      </c>
      <c r="Y13">
        <f t="shared" ca="1" si="17"/>
        <v>3</v>
      </c>
      <c r="Z13" t="str">
        <f ca="1">IF(H13="Individual",VLOOKUP(RAND(),Individual!$A$18:$G$118,MATCH($G13,Individual!$A$18:$G$18,0),1),"None")</f>
        <v>None</v>
      </c>
      <c r="AA13" t="str">
        <f ca="1">IF(I13="Individual",VLOOKUP(RAND(),Individual!$A$18:$G$118,MATCH($G13,Individual!$A$18:$G$18,0),1),"None")</f>
        <v>Defending</v>
      </c>
    </row>
    <row r="14" spans="1:27" x14ac:dyDescent="0.35">
      <c r="A14" s="14">
        <f>A13+3</f>
        <v>45044</v>
      </c>
      <c r="B14" s="15" t="s">
        <v>2</v>
      </c>
      <c r="C14" s="1">
        <f t="shared" si="1"/>
        <v>1</v>
      </c>
      <c r="D14">
        <f t="shared" si="8"/>
        <v>16.321428571428569</v>
      </c>
      <c r="E14">
        <f t="shared" si="9"/>
        <v>16</v>
      </c>
      <c r="F14">
        <f t="shared" si="0"/>
        <v>35.999999999999773</v>
      </c>
      <c r="G14" s="15" t="s">
        <v>42</v>
      </c>
      <c r="H14" s="15" t="s">
        <v>14</v>
      </c>
      <c r="I14" s="15" t="s">
        <v>49</v>
      </c>
      <c r="J14" cm="1">
        <f t="array" aca="1" ref="J14" ca="1">C14*IF(H14="Individual",VLOOKUP(Z14,Individual!$A$10:$B$16,2,0),1)*1/OFFSET(INDIRECT("'Training Speed'!B"&amp;MATCH(IF(H14="Individual",Z14,H14),'Training Speed'!$A$1:$A$99,0)),FLOOR(OFFSET(L14,0,VLOOKUP(IF(H14="Individual",Z14,H14),'Training Speed'!$A$2:$M$99,13,0)),1),1+MATCH(D14,'Training Speed'!$D$1:$K$1,1))</f>
        <v>0.14367816091954022</v>
      </c>
      <c r="K14" cm="1">
        <f t="array" aca="1" ref="K14" ca="1">C14*0.667*IF(H14=I14,0.5,1)*IF(I14="Individual",VLOOKUP(AA14,Individual!$A$10:$B$16,2,0),1)*1/OFFSET(INDIRECT("'Training Speed'!B"&amp;MATCH(IF(I14="Individual",AA14,I14),'Training Speed'!$A$1:$A$99,0)),FLOOR(OFFSET(L14,0,VLOOKUP(IF(I14="Individual",AA14,I14),'Training Speed'!$A$2:$M$99,13,0)),1),1+MATCH(D14,'Training Speed'!$D$1:$K$1,1))</f>
        <v>0.13104125736738703</v>
      </c>
      <c r="L14">
        <f t="shared" ca="1" si="10"/>
        <v>6.3415791849007084</v>
      </c>
      <c r="M14">
        <f t="shared" ca="1" si="2"/>
        <v>6.3415791849007084</v>
      </c>
      <c r="N14">
        <f t="shared" ca="1" si="11"/>
        <v>6.5508123906239843</v>
      </c>
      <c r="O14">
        <f t="shared" ca="1" si="3"/>
        <v>6.6944905515435247</v>
      </c>
      <c r="P14">
        <f t="shared" ca="1" si="12"/>
        <v>3</v>
      </c>
      <c r="Q14">
        <f t="shared" ca="1" si="4"/>
        <v>3</v>
      </c>
      <c r="R14">
        <f t="shared" ca="1" si="13"/>
        <v>3.279664570230608</v>
      </c>
      <c r="S14">
        <f t="shared" ca="1" si="5"/>
        <v>3.4107058275979951</v>
      </c>
      <c r="T14">
        <f t="shared" ca="1" si="14"/>
        <v>3</v>
      </c>
      <c r="U14">
        <f t="shared" ca="1" si="6"/>
        <v>3</v>
      </c>
      <c r="V14">
        <f t="shared" ca="1" si="15"/>
        <v>1</v>
      </c>
      <c r="W14">
        <f t="shared" ca="1" si="7"/>
        <v>1</v>
      </c>
      <c r="X14">
        <f t="shared" ca="1" si="16"/>
        <v>3</v>
      </c>
      <c r="Y14">
        <f t="shared" ca="1" si="17"/>
        <v>3</v>
      </c>
      <c r="Z14" t="str">
        <f ca="1">IF(H14="Individual",VLOOKUP(RAND(),Individual!$A$18:$G$118,MATCH($G14,Individual!$A$18:$G$18,0),1),"None")</f>
        <v>None</v>
      </c>
      <c r="AA14" t="str">
        <f ca="1">IF(I14="Individual",VLOOKUP(RAND(),Individual!$A$18:$G$118,MATCH($G14,Individual!$A$18:$G$18,0),1),"None")</f>
        <v>Passing</v>
      </c>
    </row>
    <row r="15" spans="1:27" x14ac:dyDescent="0.35">
      <c r="A15" s="14">
        <f>A14+7</f>
        <v>45051</v>
      </c>
      <c r="B15" s="15" t="s">
        <v>2</v>
      </c>
      <c r="C15" s="1">
        <f t="shared" si="1"/>
        <v>1</v>
      </c>
      <c r="D15">
        <f t="shared" si="8"/>
        <v>16.383928571428569</v>
      </c>
      <c r="E15">
        <f t="shared" si="9"/>
        <v>16</v>
      </c>
      <c r="F15">
        <f t="shared" si="0"/>
        <v>42.999999999999773</v>
      </c>
      <c r="G15" s="15" t="s">
        <v>42</v>
      </c>
      <c r="H15" s="15" t="s">
        <v>14</v>
      </c>
      <c r="I15" s="15" t="s">
        <v>49</v>
      </c>
      <c r="J15" cm="1">
        <f t="array" aca="1" ref="J15" ca="1">C15*IF(H15="Individual",VLOOKUP(Z15,Individual!$A$10:$B$16,2,0),1)*1/OFFSET(INDIRECT("'Training Speed'!B"&amp;MATCH(IF(H15="Individual",Z15,H15),'Training Speed'!$A$1:$A$99,0)),FLOOR(OFFSET(L15,0,VLOOKUP(IF(H15="Individual",Z15,H15),'Training Speed'!$A$2:$M$99,13,0)),1),1+MATCH(D15,'Training Speed'!$D$1:$K$1,1))</f>
        <v>0.14367816091954022</v>
      </c>
      <c r="K15" cm="1">
        <f t="array" aca="1" ref="K15" ca="1">C15*0.667*IF(H15=I15,0.5,1)*IF(I15="Individual",VLOOKUP(AA15,Individual!$A$10:$B$16,2,0),1)*1/OFFSET(INDIRECT("'Training Speed'!B"&amp;MATCH(IF(I15="Individual",AA15,I15),'Training Speed'!$A$1:$A$99,0)),FLOOR(OFFSET(L15,0,VLOOKUP(IF(I15="Individual",AA15,I15),'Training Speed'!$A$2:$M$99,13,0)),1),1+MATCH(D15,'Training Speed'!$D$1:$K$1,1))</f>
        <v>5.4145833333333331E-2</v>
      </c>
      <c r="L15">
        <f t="shared" ca="1" si="10"/>
        <v>6.3415791849007084</v>
      </c>
      <c r="M15">
        <f t="shared" ca="1" si="2"/>
        <v>6.3415791849007084</v>
      </c>
      <c r="N15">
        <f t="shared" ca="1" si="11"/>
        <v>6.6944905515435247</v>
      </c>
      <c r="O15">
        <f t="shared" ca="1" si="3"/>
        <v>6.8923145457963981</v>
      </c>
      <c r="P15">
        <f t="shared" ca="1" si="12"/>
        <v>3</v>
      </c>
      <c r="Q15">
        <f t="shared" ca="1" si="4"/>
        <v>3</v>
      </c>
      <c r="R15">
        <f t="shared" ca="1" si="13"/>
        <v>3.4107058275979951</v>
      </c>
      <c r="S15">
        <f t="shared" ca="1" si="5"/>
        <v>3.4107058275979951</v>
      </c>
      <c r="T15">
        <f t="shared" ca="1" si="14"/>
        <v>3</v>
      </c>
      <c r="U15">
        <f t="shared" ca="1" si="6"/>
        <v>3</v>
      </c>
      <c r="V15">
        <f t="shared" ca="1" si="15"/>
        <v>1</v>
      </c>
      <c r="W15">
        <f t="shared" ca="1" si="7"/>
        <v>1</v>
      </c>
      <c r="X15">
        <f t="shared" ca="1" si="16"/>
        <v>3</v>
      </c>
      <c r="Y15">
        <f t="shared" ca="1" si="17"/>
        <v>3</v>
      </c>
      <c r="Z15" t="str">
        <f ca="1">IF(H15="Individual",VLOOKUP(RAND(),Individual!$A$18:$G$118,MATCH($G15,Individual!$A$18:$G$18,0),1),"None")</f>
        <v>None</v>
      </c>
      <c r="AA15" t="str">
        <f ca="1">IF(I15="Individual",VLOOKUP(RAND(),Individual!$A$18:$G$118,MATCH($G15,Individual!$A$18:$G$18,0),1),"None")</f>
        <v>Playmaking</v>
      </c>
    </row>
    <row r="16" spans="1:27" x14ac:dyDescent="0.35">
      <c r="A16" s="14">
        <f>A15+7</f>
        <v>45058</v>
      </c>
      <c r="B16" s="15" t="s">
        <v>2</v>
      </c>
      <c r="C16" s="1">
        <f t="shared" si="1"/>
        <v>1</v>
      </c>
      <c r="D16">
        <f t="shared" si="8"/>
        <v>16.446428571428569</v>
      </c>
      <c r="E16">
        <f t="shared" si="9"/>
        <v>16</v>
      </c>
      <c r="F16">
        <f t="shared" si="0"/>
        <v>49.999999999999773</v>
      </c>
      <c r="G16" s="15" t="s">
        <v>40</v>
      </c>
      <c r="H16" s="15" t="s">
        <v>9</v>
      </c>
      <c r="I16" s="15" t="s">
        <v>19</v>
      </c>
      <c r="J16" cm="1">
        <f t="array" aca="1" ref="J16" ca="1">C16*IF(H16="Individual",VLOOKUP(Z16,Individual!$A$10:$B$16,2,0),1)*1/OFFSET(INDIRECT("'Training Speed'!B"&amp;MATCH(IF(H16="Individual",Z16,H16),'Training Speed'!$A$1:$A$99,0)),FLOOR(OFFSET(L16,0,VLOOKUP(IF(H16="Individual",Z16,H16),'Training Speed'!$A$2:$M$99,13,0)),1),1+MATCH(D16,'Training Speed'!$D$1:$K$1,1))</f>
        <v>0.13477088948787061</v>
      </c>
      <c r="K16" cm="1">
        <f t="array" aca="1" ref="K16" ca="1">C16*0.667*IF(H16=I16,0.5,1)*IF(I16="Individual",VLOOKUP(AA16,Individual!$A$10:$B$16,2,0),1)*1/OFFSET(INDIRECT("'Training Speed'!B"&amp;MATCH(IF(I16="Individual",AA16,I16),'Training Speed'!$A$1:$A$99,0)),FLOOR(OFFSET(L16,0,VLOOKUP(IF(I16="Individual",AA16,I16),'Training Speed'!$A$2:$M$99,13,0)),1),1+MATCH(D16,'Training Speed'!$D$1:$K$1,1))</f>
        <v>4.4946091644204857E-2</v>
      </c>
      <c r="L16">
        <f t="shared" ca="1" si="10"/>
        <v>6.3415791849007084</v>
      </c>
      <c r="M16">
        <f t="shared" ca="1" si="2"/>
        <v>6.5212961660327835</v>
      </c>
      <c r="N16">
        <f t="shared" ca="1" si="11"/>
        <v>6.8923145457963981</v>
      </c>
      <c r="O16">
        <f t="shared" ca="1" si="3"/>
        <v>6.8923145457963981</v>
      </c>
      <c r="P16">
        <f t="shared" ca="1" si="12"/>
        <v>3</v>
      </c>
      <c r="Q16">
        <f t="shared" ca="1" si="4"/>
        <v>3</v>
      </c>
      <c r="R16">
        <f t="shared" ca="1" si="13"/>
        <v>3.4107058275979951</v>
      </c>
      <c r="S16">
        <f t="shared" ca="1" si="5"/>
        <v>3.4107058275979951</v>
      </c>
      <c r="T16">
        <f t="shared" ca="1" si="14"/>
        <v>3</v>
      </c>
      <c r="U16">
        <f t="shared" ca="1" si="6"/>
        <v>3</v>
      </c>
      <c r="V16">
        <f t="shared" ca="1" si="15"/>
        <v>1</v>
      </c>
      <c r="W16">
        <f t="shared" ca="1" si="7"/>
        <v>1</v>
      </c>
      <c r="X16">
        <f t="shared" ca="1" si="16"/>
        <v>3</v>
      </c>
      <c r="Y16">
        <f t="shared" ca="1" si="17"/>
        <v>3</v>
      </c>
      <c r="Z16" t="str">
        <f ca="1">IF(H16="Individual",VLOOKUP(RAND(),Individual!$A$18:$G$118,MATCH($G16,Individual!$A$18:$G$18,0),1),"None")</f>
        <v>None</v>
      </c>
      <c r="AA16" t="str">
        <f ca="1">IF(I16="Individual",VLOOKUP(RAND(),Individual!$A$18:$G$118,MATCH($G16,Individual!$A$18:$G$18,0),1),"None")</f>
        <v>None</v>
      </c>
    </row>
    <row r="17" spans="1:27" x14ac:dyDescent="0.35">
      <c r="A17" s="14">
        <f>A16+4</f>
        <v>45062</v>
      </c>
      <c r="B17" s="15" t="s">
        <v>4</v>
      </c>
      <c r="C17" s="1">
        <f t="shared" si="1"/>
        <v>0.5</v>
      </c>
      <c r="D17">
        <f t="shared" si="8"/>
        <v>16.482142857142854</v>
      </c>
      <c r="E17">
        <f t="shared" si="9"/>
        <v>16</v>
      </c>
      <c r="F17">
        <f t="shared" si="0"/>
        <v>53.999999999999659</v>
      </c>
      <c r="G17" s="15" t="s">
        <v>42</v>
      </c>
      <c r="H17" s="15" t="s">
        <v>14</v>
      </c>
      <c r="I17" s="15" t="s">
        <v>49</v>
      </c>
      <c r="J17" cm="1">
        <f t="array" aca="1" ref="J17" ca="1">C17*IF(H17="Individual",VLOOKUP(Z17,Individual!$A$10:$B$16,2,0),1)*1/OFFSET(INDIRECT("'Training Speed'!B"&amp;MATCH(IF(H17="Individual",Z17,H17),'Training Speed'!$A$1:$A$99,0)),FLOOR(OFFSET(L17,0,VLOOKUP(IF(H17="Individual",Z17,H17),'Training Speed'!$A$2:$M$99,13,0)),1),1+MATCH(D17,'Training Speed'!$D$1:$K$1,1))</f>
        <v>7.183908045977011E-2</v>
      </c>
      <c r="K17" cm="1">
        <f t="array" aca="1" ref="K17" ca="1">C17*0.667*IF(H17=I17,0.5,1)*IF(I17="Individual",VLOOKUP(AA17,Individual!$A$10:$B$16,2,0),1)*1/OFFSET(INDIRECT("'Training Speed'!B"&amp;MATCH(IF(I17="Individual",AA17,I17),'Training Speed'!$A$1:$A$99,0)),FLOOR(OFFSET(L17,0,VLOOKUP(IF(I17="Individual",AA17,I17),'Training Speed'!$A$2:$M$99,13,0)),1),1+MATCH(D17,'Training Speed'!$D$1:$K$1,1))</f>
        <v>2.7072916666666665E-2</v>
      </c>
      <c r="L17">
        <f t="shared" ca="1" si="10"/>
        <v>6.5212961660327835</v>
      </c>
      <c r="M17">
        <f t="shared" ca="1" si="2"/>
        <v>6.5212961660327835</v>
      </c>
      <c r="N17">
        <f t="shared" ca="1" si="11"/>
        <v>6.8923145457963981</v>
      </c>
      <c r="O17">
        <f t="shared" ca="1" si="3"/>
        <v>6.9912265429228349</v>
      </c>
      <c r="P17">
        <f t="shared" ca="1" si="12"/>
        <v>3</v>
      </c>
      <c r="Q17">
        <f t="shared" ca="1" si="4"/>
        <v>3</v>
      </c>
      <c r="R17">
        <f t="shared" ca="1" si="13"/>
        <v>3.4107058275979951</v>
      </c>
      <c r="S17">
        <f t="shared" ca="1" si="5"/>
        <v>3.4107058275979951</v>
      </c>
      <c r="T17">
        <f t="shared" ca="1" si="14"/>
        <v>3</v>
      </c>
      <c r="U17">
        <f t="shared" ca="1" si="6"/>
        <v>3</v>
      </c>
      <c r="V17">
        <f t="shared" ca="1" si="15"/>
        <v>1</v>
      </c>
      <c r="W17">
        <f t="shared" ca="1" si="7"/>
        <v>1</v>
      </c>
      <c r="X17">
        <f t="shared" ca="1" si="16"/>
        <v>3</v>
      </c>
      <c r="Y17">
        <f t="shared" ca="1" si="17"/>
        <v>3</v>
      </c>
      <c r="Z17" t="str">
        <f ca="1">IF(H17="Individual",VLOOKUP(RAND(),Individual!$A$18:$G$118,MATCH($G17,Individual!$A$18:$G$18,0),1),"None")</f>
        <v>None</v>
      </c>
      <c r="AA17" t="str">
        <f ca="1">IF(I17="Individual",VLOOKUP(RAND(),Individual!$A$18:$G$118,MATCH($G17,Individual!$A$18:$G$18,0),1),"None")</f>
        <v>Playmaking</v>
      </c>
    </row>
    <row r="18" spans="1:27" x14ac:dyDescent="0.35">
      <c r="A18" s="14">
        <f>A17+3</f>
        <v>45065</v>
      </c>
      <c r="B18" s="15" t="s">
        <v>2</v>
      </c>
      <c r="C18" s="1">
        <f t="shared" si="1"/>
        <v>1</v>
      </c>
      <c r="D18">
        <f t="shared" si="8"/>
        <v>16.508928571428569</v>
      </c>
      <c r="E18">
        <f t="shared" si="9"/>
        <v>16</v>
      </c>
      <c r="F18">
        <f t="shared" si="0"/>
        <v>56.999999999999773</v>
      </c>
      <c r="G18" s="15" t="s">
        <v>40</v>
      </c>
      <c r="H18" s="15" t="s">
        <v>9</v>
      </c>
      <c r="I18" s="15" t="s">
        <v>19</v>
      </c>
      <c r="J18" cm="1">
        <f t="array" aca="1" ref="J18" ca="1">C18*IF(H18="Individual",VLOOKUP(Z18,Individual!$A$10:$B$16,2,0),1)*1/OFFSET(INDIRECT("'Training Speed'!B"&amp;MATCH(IF(H18="Individual",Z18,H18),'Training Speed'!$A$1:$A$99,0)),FLOOR(OFFSET(L18,0,VLOOKUP(IF(H18="Individual",Z18,H18),'Training Speed'!$A$2:$M$99,13,0)),1),1+MATCH(D18,'Training Speed'!$D$1:$K$1,1))</f>
        <v>0.12626262626262627</v>
      </c>
      <c r="K18" cm="1">
        <f t="array" aca="1" ref="K18" ca="1">C18*0.667*IF(H18=I18,0.5,1)*IF(I18="Individual",VLOOKUP(AA18,Individual!$A$10:$B$16,2,0),1)*1/OFFSET(INDIRECT("'Training Speed'!B"&amp;MATCH(IF(I18="Individual",AA18,I18),'Training Speed'!$A$1:$A$99,0)),FLOOR(OFFSET(L18,0,VLOOKUP(IF(I18="Individual",AA18,I18),'Training Speed'!$A$2:$M$99,13,0)),1),1+MATCH(D18,'Training Speed'!$D$1:$K$1,1))</f>
        <v>4.20820189274448E-2</v>
      </c>
      <c r="L18">
        <f t="shared" ca="1" si="10"/>
        <v>6.5212961660327835</v>
      </c>
      <c r="M18">
        <f t="shared" ca="1" si="2"/>
        <v>6.6896408112228549</v>
      </c>
      <c r="N18">
        <f t="shared" ca="1" si="11"/>
        <v>6.9912265429228349</v>
      </c>
      <c r="O18">
        <f t="shared" ca="1" si="3"/>
        <v>6.9912265429228349</v>
      </c>
      <c r="P18">
        <f t="shared" ca="1" si="12"/>
        <v>3</v>
      </c>
      <c r="Q18">
        <f t="shared" ca="1" si="4"/>
        <v>3</v>
      </c>
      <c r="R18">
        <f t="shared" ca="1" si="13"/>
        <v>3.4107058275979951</v>
      </c>
      <c r="S18">
        <f t="shared" ca="1" si="5"/>
        <v>3.4107058275979951</v>
      </c>
      <c r="T18">
        <f t="shared" ca="1" si="14"/>
        <v>3</v>
      </c>
      <c r="U18">
        <f t="shared" ca="1" si="6"/>
        <v>3</v>
      </c>
      <c r="V18">
        <f t="shared" ca="1" si="15"/>
        <v>1</v>
      </c>
      <c r="W18">
        <f t="shared" ca="1" si="7"/>
        <v>1</v>
      </c>
      <c r="X18">
        <f t="shared" ca="1" si="16"/>
        <v>3</v>
      </c>
      <c r="Y18">
        <f t="shared" ca="1" si="17"/>
        <v>3</v>
      </c>
      <c r="Z18" t="str">
        <f ca="1">IF(H18="Individual",VLOOKUP(RAND(),Individual!$A$18:$G$118,MATCH($G18,Individual!$A$18:$G$18,0),1),"None")</f>
        <v>None</v>
      </c>
      <c r="AA18" t="str">
        <f ca="1">IF(I18="Individual",VLOOKUP(RAND(),Individual!$A$18:$G$118,MATCH($G18,Individual!$A$18:$G$18,0),1),"None")</f>
        <v>None</v>
      </c>
    </row>
    <row r="19" spans="1:27" x14ac:dyDescent="0.35">
      <c r="A19" s="14">
        <f>A18+7</f>
        <v>45072</v>
      </c>
      <c r="B19" s="15" t="s">
        <v>2</v>
      </c>
      <c r="C19" s="1">
        <f t="shared" si="1"/>
        <v>1</v>
      </c>
      <c r="D19">
        <f t="shared" si="8"/>
        <v>16.571428571428569</v>
      </c>
      <c r="E19">
        <f t="shared" si="9"/>
        <v>16</v>
      </c>
      <c r="F19">
        <f t="shared" si="0"/>
        <v>63.999999999999773</v>
      </c>
      <c r="G19" s="15" t="s">
        <v>40</v>
      </c>
      <c r="H19" s="15" t="s">
        <v>9</v>
      </c>
      <c r="I19" s="15" t="s">
        <v>19</v>
      </c>
      <c r="J19" cm="1">
        <f t="array" aca="1" ref="J19" ca="1">C19*IF(H19="Individual",VLOOKUP(Z19,Individual!$A$10:$B$16,2,0),1)*1/OFFSET(INDIRECT("'Training Speed'!B"&amp;MATCH(IF(H19="Individual",Z19,H19),'Training Speed'!$A$1:$A$99,0)),FLOOR(OFFSET(L19,0,VLOOKUP(IF(H19="Individual",Z19,H19),'Training Speed'!$A$2:$M$99,13,0)),1),1+MATCH(D19,'Training Speed'!$D$1:$K$1,1))</f>
        <v>0.12626262626262627</v>
      </c>
      <c r="K19" cm="1">
        <f t="array" aca="1" ref="K19" ca="1">C19*0.667*IF(H19=I19,0.5,1)*IF(I19="Individual",VLOOKUP(AA19,Individual!$A$10:$B$16,2,0),1)*1/OFFSET(INDIRECT("'Training Speed'!B"&amp;MATCH(IF(I19="Individual",AA19,I19),'Training Speed'!$A$1:$A$99,0)),FLOOR(OFFSET(L19,0,VLOOKUP(IF(I19="Individual",AA19,I19),'Training Speed'!$A$2:$M$99,13,0)),1),1+MATCH(D19,'Training Speed'!$D$1:$K$1,1))</f>
        <v>4.20820189274448E-2</v>
      </c>
      <c r="L19">
        <f t="shared" ca="1" si="10"/>
        <v>6.6896408112228549</v>
      </c>
      <c r="M19">
        <f t="shared" ca="1" si="2"/>
        <v>6.8579854564129263</v>
      </c>
      <c r="N19">
        <f t="shared" ca="1" si="11"/>
        <v>6.9912265429228349</v>
      </c>
      <c r="O19">
        <f t="shared" ca="1" si="3"/>
        <v>6.9912265429228349</v>
      </c>
      <c r="P19">
        <f t="shared" ca="1" si="12"/>
        <v>3</v>
      </c>
      <c r="Q19">
        <f t="shared" ca="1" si="4"/>
        <v>3</v>
      </c>
      <c r="R19">
        <f t="shared" ca="1" si="13"/>
        <v>3.4107058275979951</v>
      </c>
      <c r="S19">
        <f t="shared" ca="1" si="5"/>
        <v>3.4107058275979951</v>
      </c>
      <c r="T19">
        <f t="shared" ca="1" si="14"/>
        <v>3</v>
      </c>
      <c r="U19">
        <f t="shared" ca="1" si="6"/>
        <v>3</v>
      </c>
      <c r="V19">
        <f t="shared" ca="1" si="15"/>
        <v>1</v>
      </c>
      <c r="W19">
        <f t="shared" ca="1" si="7"/>
        <v>1</v>
      </c>
      <c r="X19">
        <f t="shared" ca="1" si="16"/>
        <v>3</v>
      </c>
      <c r="Y19">
        <f t="shared" ca="1" si="17"/>
        <v>3</v>
      </c>
      <c r="Z19" t="str">
        <f ca="1">IF(H19="Individual",VLOOKUP(RAND(),Individual!$A$18:$G$118,MATCH($G19,Individual!$A$18:$G$18,0),1),"None")</f>
        <v>None</v>
      </c>
      <c r="AA19" t="str">
        <f ca="1">IF(I19="Individual",VLOOKUP(RAND(),Individual!$A$18:$G$118,MATCH($G19,Individual!$A$18:$G$18,0),1),"None")</f>
        <v>None</v>
      </c>
    </row>
    <row r="20" spans="1:27" x14ac:dyDescent="0.35">
      <c r="A20" s="14">
        <f>A19+7</f>
        <v>45079</v>
      </c>
      <c r="B20" s="15" t="s">
        <v>2</v>
      </c>
      <c r="C20" s="1">
        <f t="shared" si="1"/>
        <v>1</v>
      </c>
      <c r="D20">
        <f t="shared" si="8"/>
        <v>16.633928571428569</v>
      </c>
      <c r="E20">
        <f t="shared" si="9"/>
        <v>16</v>
      </c>
      <c r="F20">
        <f t="shared" si="0"/>
        <v>70.999999999999773</v>
      </c>
      <c r="G20" s="15" t="s">
        <v>40</v>
      </c>
      <c r="H20" s="15" t="s">
        <v>9</v>
      </c>
      <c r="I20" s="15" t="s">
        <v>19</v>
      </c>
      <c r="J20" cm="1">
        <f t="array" aca="1" ref="J20" ca="1">C20*IF(H20="Individual",VLOOKUP(Z20,Individual!$A$10:$B$16,2,0),1)*1/OFFSET(INDIRECT("'Training Speed'!B"&amp;MATCH(IF(H20="Individual",Z20,H20),'Training Speed'!$A$1:$A$99,0)),FLOOR(OFFSET(L20,0,VLOOKUP(IF(H20="Individual",Z20,H20),'Training Speed'!$A$2:$M$99,13,0)),1),1+MATCH(D20,'Training Speed'!$D$1:$K$1,1))</f>
        <v>0.12626262626262627</v>
      </c>
      <c r="K20" cm="1">
        <f t="array" aca="1" ref="K20" ca="1">C20*0.667*IF(H20=I20,0.5,1)*IF(I20="Individual",VLOOKUP(AA20,Individual!$A$10:$B$16,2,0),1)*1/OFFSET(INDIRECT("'Training Speed'!B"&amp;MATCH(IF(I20="Individual",AA20,I20),'Training Speed'!$A$1:$A$99,0)),FLOOR(OFFSET(L20,0,VLOOKUP(IF(I20="Individual",AA20,I20),'Training Speed'!$A$2:$M$99,13,0)),1),1+MATCH(D20,'Training Speed'!$D$1:$K$1,1))</f>
        <v>4.20820189274448E-2</v>
      </c>
      <c r="L20">
        <f t="shared" ca="1" si="10"/>
        <v>6.8579854564129263</v>
      </c>
      <c r="M20">
        <f t="shared" ca="1" si="2"/>
        <v>7.0263301016029978</v>
      </c>
      <c r="N20">
        <f t="shared" ca="1" si="11"/>
        <v>6.9912265429228349</v>
      </c>
      <c r="O20">
        <f t="shared" ca="1" si="3"/>
        <v>6.9912265429228349</v>
      </c>
      <c r="P20">
        <f t="shared" ca="1" si="12"/>
        <v>3</v>
      </c>
      <c r="Q20">
        <f t="shared" ca="1" si="4"/>
        <v>3</v>
      </c>
      <c r="R20">
        <f t="shared" ca="1" si="13"/>
        <v>3.4107058275979951</v>
      </c>
      <c r="S20">
        <f t="shared" ca="1" si="5"/>
        <v>3.4107058275979951</v>
      </c>
      <c r="T20">
        <f t="shared" ca="1" si="14"/>
        <v>3</v>
      </c>
      <c r="U20">
        <f t="shared" ca="1" si="6"/>
        <v>3</v>
      </c>
      <c r="V20">
        <f t="shared" ca="1" si="15"/>
        <v>1</v>
      </c>
      <c r="W20">
        <f t="shared" ca="1" si="7"/>
        <v>1</v>
      </c>
      <c r="X20">
        <f t="shared" ca="1" si="16"/>
        <v>3</v>
      </c>
      <c r="Y20">
        <f t="shared" ca="1" si="17"/>
        <v>3</v>
      </c>
      <c r="Z20" t="str">
        <f ca="1">IF(H20="Individual",VLOOKUP(RAND(),Individual!$A$18:$G$118,MATCH($G20,Individual!$A$18:$G$18,0),1),"None")</f>
        <v>None</v>
      </c>
      <c r="AA20" t="str">
        <f ca="1">IF(I20="Individual",VLOOKUP(RAND(),Individual!$A$18:$G$118,MATCH($G20,Individual!$A$18:$G$18,0),1),"None")</f>
        <v>None</v>
      </c>
    </row>
    <row r="21" spans="1:27" x14ac:dyDescent="0.35">
      <c r="A21" s="14">
        <f>A20+4</f>
        <v>45083</v>
      </c>
      <c r="B21" s="15" t="s">
        <v>4</v>
      </c>
      <c r="C21" s="1">
        <f t="shared" si="1"/>
        <v>0.5</v>
      </c>
      <c r="D21">
        <f t="shared" si="8"/>
        <v>16.669642857142854</v>
      </c>
      <c r="E21">
        <f t="shared" si="9"/>
        <v>16</v>
      </c>
      <c r="F21">
        <f t="shared" si="0"/>
        <v>74.999999999999659</v>
      </c>
      <c r="G21" s="15" t="s">
        <v>42</v>
      </c>
      <c r="H21" s="15" t="s">
        <v>14</v>
      </c>
      <c r="I21" s="15" t="s">
        <v>49</v>
      </c>
      <c r="J21" cm="1">
        <f t="array" aca="1" ref="J21" ca="1">C21*IF(H21="Individual",VLOOKUP(Z21,Individual!$A$10:$B$16,2,0),1)*1/OFFSET(INDIRECT("'Training Speed'!B"&amp;MATCH(IF(H21="Individual",Z21,H21),'Training Speed'!$A$1:$A$99,0)),FLOOR(OFFSET(L21,0,VLOOKUP(IF(H21="Individual",Z21,H21),'Training Speed'!$A$2:$M$99,13,0)),1),1+MATCH(D21,'Training Speed'!$D$1:$K$1,1))</f>
        <v>6.7294751009421269E-2</v>
      </c>
      <c r="K21" cm="1">
        <f t="array" aca="1" ref="K21" ca="1">C21*0.667*IF(H21=I21,0.5,1)*IF(I21="Individual",VLOOKUP(AA21,Individual!$A$10:$B$16,2,0),1)*1/OFFSET(INDIRECT("'Training Speed'!B"&amp;MATCH(IF(I21="Individual",AA21,I21),'Training Speed'!$A$1:$A$99,0)),FLOOR(OFFSET(L21,0,VLOOKUP(IF(I21="Individual",AA21,I21),'Training Speed'!$A$2:$M$99,13,0)),1),1+MATCH(D21,'Training Speed'!$D$1:$K$1,1))</f>
        <v>2.5360363391655451E-2</v>
      </c>
      <c r="L21">
        <f t="shared" ca="1" si="10"/>
        <v>7.0263301016029978</v>
      </c>
      <c r="M21">
        <f t="shared" ca="1" si="2"/>
        <v>7.0263301016029978</v>
      </c>
      <c r="N21">
        <f t="shared" ca="1" si="11"/>
        <v>6.9912265429228349</v>
      </c>
      <c r="O21">
        <f t="shared" ca="1" si="3"/>
        <v>7.0838816573239116</v>
      </c>
      <c r="P21">
        <f t="shared" ca="1" si="12"/>
        <v>3</v>
      </c>
      <c r="Q21">
        <f t="shared" ca="1" si="4"/>
        <v>3</v>
      </c>
      <c r="R21">
        <f t="shared" ca="1" si="13"/>
        <v>3.4107058275979951</v>
      </c>
      <c r="S21">
        <f t="shared" ca="1" si="5"/>
        <v>3.4107058275979951</v>
      </c>
      <c r="T21">
        <f t="shared" ca="1" si="14"/>
        <v>3</v>
      </c>
      <c r="U21">
        <f t="shared" ca="1" si="6"/>
        <v>3</v>
      </c>
      <c r="V21">
        <f t="shared" ca="1" si="15"/>
        <v>1</v>
      </c>
      <c r="W21">
        <f t="shared" ca="1" si="7"/>
        <v>1</v>
      </c>
      <c r="X21">
        <f t="shared" ca="1" si="16"/>
        <v>3</v>
      </c>
      <c r="Y21">
        <f t="shared" ca="1" si="17"/>
        <v>3</v>
      </c>
      <c r="Z21" t="str">
        <f ca="1">IF(H21="Individual",VLOOKUP(RAND(),Individual!$A$18:$G$118,MATCH($G21,Individual!$A$18:$G$18,0),1),"None")</f>
        <v>None</v>
      </c>
      <c r="AA21" t="str">
        <f ca="1">IF(I21="Individual",VLOOKUP(RAND(),Individual!$A$18:$G$118,MATCH($G21,Individual!$A$18:$G$18,0),1),"None")</f>
        <v>Playmaking</v>
      </c>
    </row>
    <row r="22" spans="1:27" x14ac:dyDescent="0.35">
      <c r="A22" s="14">
        <f>A21+3</f>
        <v>45086</v>
      </c>
      <c r="B22" s="15" t="s">
        <v>2</v>
      </c>
      <c r="C22" s="1">
        <f t="shared" si="1"/>
        <v>1</v>
      </c>
      <c r="D22">
        <f t="shared" si="8"/>
        <v>16.696428571428569</v>
      </c>
      <c r="E22">
        <f t="shared" si="9"/>
        <v>16</v>
      </c>
      <c r="F22">
        <f t="shared" si="0"/>
        <v>77.999999999999773</v>
      </c>
      <c r="G22" s="15" t="s">
        <v>40</v>
      </c>
      <c r="H22" s="15" t="s">
        <v>9</v>
      </c>
      <c r="I22" s="15" t="s">
        <v>19</v>
      </c>
      <c r="J22" cm="1">
        <f t="array" aca="1" ref="J22" ca="1">C22*IF(H22="Individual",VLOOKUP(Z22,Individual!$A$10:$B$16,2,0),1)*1/OFFSET(INDIRECT("'Training Speed'!B"&amp;MATCH(IF(H22="Individual",Z22,H22),'Training Speed'!$A$1:$A$99,0)),FLOOR(OFFSET(L22,0,VLOOKUP(IF(H22="Individual",Z22,H22),'Training Speed'!$A$2:$M$99,13,0)),1),1+MATCH(D22,'Training Speed'!$D$1:$K$1,1))</f>
        <v>0.12180267965895249</v>
      </c>
      <c r="K22" cm="1">
        <f t="array" aca="1" ref="K22" ca="1">C22*0.667*IF(H22=I22,0.5,1)*IF(I22="Individual",VLOOKUP(AA22,Individual!$A$10:$B$16,2,0),1)*1/OFFSET(INDIRECT("'Training Speed'!B"&amp;MATCH(IF(I22="Individual",AA22,I22),'Training Speed'!$A$1:$A$99,0)),FLOOR(OFFSET(L22,0,VLOOKUP(IF(I22="Individual",AA22,I22),'Training Speed'!$A$2:$M$99,13,0)),1),1+MATCH(D22,'Training Speed'!$D$1:$K$1,1))</f>
        <v>4.0645947592931143E-2</v>
      </c>
      <c r="L22">
        <f t="shared" ca="1" si="10"/>
        <v>7.0263301016029978</v>
      </c>
      <c r="M22">
        <f t="shared" ca="1" si="2"/>
        <v>7.1887787288548815</v>
      </c>
      <c r="N22">
        <f t="shared" ca="1" si="11"/>
        <v>7.0838816573239116</v>
      </c>
      <c r="O22">
        <f t="shared" ca="1" si="3"/>
        <v>7.0838816573239116</v>
      </c>
      <c r="P22">
        <f t="shared" ca="1" si="12"/>
        <v>3</v>
      </c>
      <c r="Q22">
        <f t="shared" ca="1" si="4"/>
        <v>3</v>
      </c>
      <c r="R22">
        <f t="shared" ca="1" si="13"/>
        <v>3.4107058275979951</v>
      </c>
      <c r="S22">
        <f t="shared" ca="1" si="5"/>
        <v>3.4107058275979951</v>
      </c>
      <c r="T22">
        <f t="shared" ca="1" si="14"/>
        <v>3</v>
      </c>
      <c r="U22">
        <f t="shared" ca="1" si="6"/>
        <v>3</v>
      </c>
      <c r="V22">
        <f t="shared" ca="1" si="15"/>
        <v>1</v>
      </c>
      <c r="W22">
        <f t="shared" ca="1" si="7"/>
        <v>1</v>
      </c>
      <c r="X22">
        <f t="shared" ca="1" si="16"/>
        <v>3</v>
      </c>
      <c r="Y22">
        <f t="shared" ca="1" si="17"/>
        <v>3</v>
      </c>
      <c r="Z22" t="str">
        <f ca="1">IF(H22="Individual",VLOOKUP(RAND(),Individual!$A$18:$G$118,MATCH($G22,Individual!$A$18:$G$18,0),1),"None")</f>
        <v>None</v>
      </c>
      <c r="AA22" t="str">
        <f ca="1">IF(I22="Individual",VLOOKUP(RAND(),Individual!$A$18:$G$118,MATCH($G22,Individual!$A$18:$G$18,0),1),"None")</f>
        <v>None</v>
      </c>
    </row>
    <row r="23" spans="1:27" x14ac:dyDescent="0.35">
      <c r="A23" s="14">
        <f>A22+7</f>
        <v>45093</v>
      </c>
      <c r="B23" s="15" t="s">
        <v>2</v>
      </c>
      <c r="C23" s="1">
        <f t="shared" si="1"/>
        <v>1</v>
      </c>
      <c r="D23">
        <f t="shared" si="8"/>
        <v>16.758928571428569</v>
      </c>
      <c r="E23">
        <f t="shared" si="9"/>
        <v>16</v>
      </c>
      <c r="F23">
        <f t="shared" si="0"/>
        <v>84.999999999999773</v>
      </c>
      <c r="G23" s="15" t="s">
        <v>40</v>
      </c>
      <c r="H23" s="15" t="s">
        <v>9</v>
      </c>
      <c r="I23" s="15" t="s">
        <v>19</v>
      </c>
      <c r="J23" cm="1">
        <f t="array" aca="1" ref="J23" ca="1">C23*IF(H23="Individual",VLOOKUP(Z23,Individual!$A$10:$B$16,2,0),1)*1/OFFSET(INDIRECT("'Training Speed'!B"&amp;MATCH(IF(H23="Individual",Z23,H23),'Training Speed'!$A$1:$A$99,0)),FLOOR(OFFSET(L23,0,VLOOKUP(IF(H23="Individual",Z23,H23),'Training Speed'!$A$2:$M$99,13,0)),1),1+MATCH(D23,'Training Speed'!$D$1:$K$1,1))</f>
        <v>0.12180267965895249</v>
      </c>
      <c r="K23" cm="1">
        <f t="array" aca="1" ref="K23" ca="1">C23*0.667*IF(H23=I23,0.5,1)*IF(I23="Individual",VLOOKUP(AA23,Individual!$A$10:$B$16,2,0),1)*1/OFFSET(INDIRECT("'Training Speed'!B"&amp;MATCH(IF(I23="Individual",AA23,I23),'Training Speed'!$A$1:$A$99,0)),FLOOR(OFFSET(L23,0,VLOOKUP(IF(I23="Individual",AA23,I23),'Training Speed'!$A$2:$M$99,13,0)),1),1+MATCH(D23,'Training Speed'!$D$1:$K$1,1))</f>
        <v>4.0645947592931143E-2</v>
      </c>
      <c r="L23">
        <f t="shared" ca="1" si="10"/>
        <v>7.1887787288548815</v>
      </c>
      <c r="M23">
        <f t="shared" ca="1" si="2"/>
        <v>7.3512273561067651</v>
      </c>
      <c r="N23">
        <f t="shared" ca="1" si="11"/>
        <v>7.0838816573239116</v>
      </c>
      <c r="O23">
        <f t="shared" ca="1" si="3"/>
        <v>7.0838816573239116</v>
      </c>
      <c r="P23">
        <f t="shared" ca="1" si="12"/>
        <v>3</v>
      </c>
      <c r="Q23">
        <f t="shared" ca="1" si="4"/>
        <v>3</v>
      </c>
      <c r="R23">
        <f t="shared" ca="1" si="13"/>
        <v>3.4107058275979951</v>
      </c>
      <c r="S23">
        <f t="shared" ca="1" si="5"/>
        <v>3.4107058275979951</v>
      </c>
      <c r="T23">
        <f t="shared" ca="1" si="14"/>
        <v>3</v>
      </c>
      <c r="U23">
        <f t="shared" ca="1" si="6"/>
        <v>3</v>
      </c>
      <c r="V23">
        <f t="shared" ca="1" si="15"/>
        <v>1</v>
      </c>
      <c r="W23">
        <f t="shared" ca="1" si="7"/>
        <v>1</v>
      </c>
      <c r="X23">
        <f t="shared" ca="1" si="16"/>
        <v>3</v>
      </c>
      <c r="Y23">
        <f t="shared" ca="1" si="17"/>
        <v>3</v>
      </c>
      <c r="Z23" t="str">
        <f ca="1">IF(H23="Individual",VLOOKUP(RAND(),Individual!$A$18:$G$118,MATCH($G23,Individual!$A$18:$G$18,0),1),"None")</f>
        <v>None</v>
      </c>
      <c r="AA23" t="str">
        <f ca="1">IF(I23="Individual",VLOOKUP(RAND(),Individual!$A$18:$G$118,MATCH($G23,Individual!$A$18:$G$18,0),1),"None")</f>
        <v>None</v>
      </c>
    </row>
    <row r="24" spans="1:27" x14ac:dyDescent="0.35">
      <c r="A24" s="14">
        <f>A23+7</f>
        <v>45100</v>
      </c>
      <c r="B24" s="15" t="s">
        <v>2</v>
      </c>
      <c r="C24" s="1">
        <f t="shared" si="1"/>
        <v>1</v>
      </c>
      <c r="D24">
        <f t="shared" si="8"/>
        <v>16.821428571428569</v>
      </c>
      <c r="E24">
        <f t="shared" si="9"/>
        <v>16</v>
      </c>
      <c r="F24">
        <f t="shared" si="0"/>
        <v>91.999999999999773</v>
      </c>
      <c r="G24" s="15" t="s">
        <v>42</v>
      </c>
      <c r="H24" s="15" t="s">
        <v>9</v>
      </c>
      <c r="I24" s="15" t="s">
        <v>19</v>
      </c>
      <c r="J24" cm="1">
        <f t="array" aca="1" ref="J24" ca="1">C24*IF(H24="Individual",VLOOKUP(Z24,Individual!$A$10:$B$16,2,0),1)*1/OFFSET(INDIRECT("'Training Speed'!B"&amp;MATCH(IF(H24="Individual",Z24,H24),'Training Speed'!$A$1:$A$99,0)),FLOOR(OFFSET(L24,0,VLOOKUP(IF(H24="Individual",Z24,H24),'Training Speed'!$A$2:$M$99,13,0)),1),1+MATCH(D24,'Training Speed'!$D$1:$K$1,1))</f>
        <v>0.12180267965895249</v>
      </c>
      <c r="K24" cm="1">
        <f t="array" aca="1" ref="K24" ca="1">C24*0.667*IF(H24=I24,0.5,1)*IF(I24="Individual",VLOOKUP(AA24,Individual!$A$10:$B$16,2,0),1)*1/OFFSET(INDIRECT("'Training Speed'!B"&amp;MATCH(IF(I24="Individual",AA24,I24),'Training Speed'!$A$1:$A$99,0)),FLOOR(OFFSET(L24,0,VLOOKUP(IF(I24="Individual",AA24,I24),'Training Speed'!$A$2:$M$99,13,0)),1),1+MATCH(D24,'Training Speed'!$D$1:$K$1,1))</f>
        <v>4.0645947592931143E-2</v>
      </c>
      <c r="L24">
        <f t="shared" ca="1" si="10"/>
        <v>7.3512273561067651</v>
      </c>
      <c r="M24">
        <f t="shared" ca="1" si="2"/>
        <v>7.5136759833586488</v>
      </c>
      <c r="N24">
        <f t="shared" ca="1" si="11"/>
        <v>7.0838816573239116</v>
      </c>
      <c r="O24">
        <f t="shared" ca="1" si="3"/>
        <v>7.0838816573239116</v>
      </c>
      <c r="P24">
        <f t="shared" ca="1" si="12"/>
        <v>3</v>
      </c>
      <c r="Q24">
        <f t="shared" ca="1" si="4"/>
        <v>3</v>
      </c>
      <c r="R24">
        <f t="shared" ca="1" si="13"/>
        <v>3.4107058275979951</v>
      </c>
      <c r="S24">
        <f t="shared" ca="1" si="5"/>
        <v>3.4107058275979951</v>
      </c>
      <c r="T24">
        <f t="shared" ca="1" si="14"/>
        <v>3</v>
      </c>
      <c r="U24">
        <f t="shared" ca="1" si="6"/>
        <v>3</v>
      </c>
      <c r="V24">
        <f t="shared" ca="1" si="15"/>
        <v>1</v>
      </c>
      <c r="W24">
        <f t="shared" ca="1" si="7"/>
        <v>1</v>
      </c>
      <c r="X24">
        <f t="shared" ca="1" si="16"/>
        <v>3</v>
      </c>
      <c r="Y24">
        <f t="shared" ca="1" si="17"/>
        <v>3</v>
      </c>
      <c r="Z24" t="str">
        <f ca="1">IF(H24="Individual",VLOOKUP(RAND(),Individual!$A$18:$G$118,MATCH($G24,Individual!$A$18:$G$18,0),1),"None")</f>
        <v>None</v>
      </c>
      <c r="AA24" t="str">
        <f ca="1">IF(I24="Individual",VLOOKUP(RAND(),Individual!$A$18:$G$118,MATCH($G24,Individual!$A$18:$G$18,0),1),"None")</f>
        <v>None</v>
      </c>
    </row>
    <row r="25" spans="1:27" x14ac:dyDescent="0.35">
      <c r="A25" s="14">
        <f>A24+2</f>
        <v>45102</v>
      </c>
      <c r="B25" s="15" t="s">
        <v>2</v>
      </c>
      <c r="C25" s="1">
        <f t="shared" si="1"/>
        <v>1</v>
      </c>
      <c r="D25">
        <f t="shared" si="8"/>
        <v>16.839285714285712</v>
      </c>
      <c r="E25">
        <f t="shared" si="9"/>
        <v>16</v>
      </c>
      <c r="F25">
        <f t="shared" si="0"/>
        <v>93.999999999999716</v>
      </c>
      <c r="G25" s="15" t="s">
        <v>42</v>
      </c>
      <c r="H25" s="15" t="s">
        <v>9</v>
      </c>
      <c r="I25" s="15" t="s">
        <v>19</v>
      </c>
      <c r="J25" cm="1">
        <f t="array" aca="1" ref="J25" ca="1">C25*IF(H25="Individual",VLOOKUP(Z25,Individual!$A$10:$B$16,2,0),1)*1/OFFSET(INDIRECT("'Training Speed'!B"&amp;MATCH(IF(H25="Individual",Z25,H25),'Training Speed'!$A$1:$A$99,0)),FLOOR(OFFSET(L25,0,VLOOKUP(IF(H25="Individual",Z25,H25),'Training Speed'!$A$2:$M$99,13,0)),1),1+MATCH(D25,'Training Speed'!$D$1:$K$1,1))</f>
        <v>0.12180267965895249</v>
      </c>
      <c r="K25" cm="1">
        <f t="array" aca="1" ref="K25" ca="1">C25*0.667*IF(H25=I25,0.5,1)*IF(I25="Individual",VLOOKUP(AA25,Individual!$A$10:$B$16,2,0),1)*1/OFFSET(INDIRECT("'Training Speed'!B"&amp;MATCH(IF(I25="Individual",AA25,I25),'Training Speed'!$A$1:$A$99,0)),FLOOR(OFFSET(L25,0,VLOOKUP(IF(I25="Individual",AA25,I25),'Training Speed'!$A$2:$M$99,13,0)),1),1+MATCH(D25,'Training Speed'!$D$1:$K$1,1))</f>
        <v>4.0645947592931143E-2</v>
      </c>
      <c r="L25">
        <f t="shared" ca="1" si="10"/>
        <v>7.5136759833586488</v>
      </c>
      <c r="M25">
        <f t="shared" ca="1" si="2"/>
        <v>7.6761246106105325</v>
      </c>
      <c r="N25">
        <f t="shared" ca="1" si="11"/>
        <v>7.0838816573239116</v>
      </c>
      <c r="O25">
        <f t="shared" ca="1" si="3"/>
        <v>7.0838816573239116</v>
      </c>
      <c r="P25">
        <f t="shared" ca="1" si="12"/>
        <v>3</v>
      </c>
      <c r="Q25">
        <f t="shared" ca="1" si="4"/>
        <v>3</v>
      </c>
      <c r="R25">
        <f t="shared" ca="1" si="13"/>
        <v>3.4107058275979951</v>
      </c>
      <c r="S25">
        <f t="shared" ca="1" si="5"/>
        <v>3.4107058275979951</v>
      </c>
      <c r="T25">
        <f t="shared" ca="1" si="14"/>
        <v>3</v>
      </c>
      <c r="U25">
        <f t="shared" ca="1" si="6"/>
        <v>3</v>
      </c>
      <c r="V25">
        <f t="shared" ca="1" si="15"/>
        <v>1</v>
      </c>
      <c r="W25">
        <f t="shared" ca="1" si="7"/>
        <v>1</v>
      </c>
      <c r="X25">
        <f t="shared" ca="1" si="16"/>
        <v>3</v>
      </c>
      <c r="Y25">
        <f t="shared" ca="1" si="17"/>
        <v>3</v>
      </c>
      <c r="Z25" t="str">
        <f ca="1">IF(H25="Individual",VLOOKUP(RAND(),Individual!$A$18:$G$118,MATCH($G25,Individual!$A$18:$G$18,0),1),"None")</f>
        <v>None</v>
      </c>
      <c r="AA25" t="str">
        <f ca="1">IF(I25="Individual",VLOOKUP(RAND(),Individual!$A$18:$G$118,MATCH($G25,Individual!$A$18:$G$18,0),1),"None")</f>
        <v>None</v>
      </c>
    </row>
    <row r="26" spans="1:27" x14ac:dyDescent="0.35">
      <c r="A26" s="14">
        <f>A24+4</f>
        <v>45104</v>
      </c>
      <c r="B26" s="15" t="s">
        <v>4</v>
      </c>
      <c r="C26" s="1">
        <f t="shared" si="1"/>
        <v>0.5</v>
      </c>
      <c r="D26">
        <f t="shared" si="8"/>
        <v>16.857142857142854</v>
      </c>
      <c r="E26">
        <f t="shared" si="9"/>
        <v>16</v>
      </c>
      <c r="F26">
        <f t="shared" si="0"/>
        <v>95.999999999999659</v>
      </c>
      <c r="G26" s="15" t="s">
        <v>42</v>
      </c>
      <c r="H26" s="15" t="s">
        <v>9</v>
      </c>
      <c r="I26" s="15" t="s">
        <v>19</v>
      </c>
      <c r="J26" cm="1">
        <f t="array" aca="1" ref="J26" ca="1">C26*IF(H26="Individual",VLOOKUP(Z26,Individual!$A$10:$B$16,2,0),1)*1/OFFSET(INDIRECT("'Training Speed'!B"&amp;MATCH(IF(H26="Individual",Z26,H26),'Training Speed'!$A$1:$A$99,0)),FLOOR(OFFSET(L26,0,VLOOKUP(IF(H26="Individual",Z26,H26),'Training Speed'!$A$2:$M$99,13,0)),1),1+MATCH(D26,'Training Speed'!$D$1:$K$1,1))</f>
        <v>6.0901339829476243E-2</v>
      </c>
      <c r="K26" cm="1">
        <f t="array" aca="1" ref="K26" ca="1">C26*0.667*IF(H26=I26,0.5,1)*IF(I26="Individual",VLOOKUP(AA26,Individual!$A$10:$B$16,2,0),1)*1/OFFSET(INDIRECT("'Training Speed'!B"&amp;MATCH(IF(I26="Individual",AA26,I26),'Training Speed'!$A$1:$A$99,0)),FLOOR(OFFSET(L26,0,VLOOKUP(IF(I26="Individual",AA26,I26),'Training Speed'!$A$2:$M$99,13,0)),1),1+MATCH(D26,'Training Speed'!$D$1:$K$1,1))</f>
        <v>2.0322973796465572E-2</v>
      </c>
      <c r="L26">
        <f t="shared" ca="1" si="10"/>
        <v>7.6761246106105325</v>
      </c>
      <c r="M26">
        <f t="shared" ca="1" si="2"/>
        <v>7.7573489242364744</v>
      </c>
      <c r="N26">
        <f t="shared" ca="1" si="11"/>
        <v>7.0838816573239116</v>
      </c>
      <c r="O26">
        <f t="shared" ca="1" si="3"/>
        <v>7.0838816573239116</v>
      </c>
      <c r="P26">
        <f t="shared" ca="1" si="12"/>
        <v>3</v>
      </c>
      <c r="Q26">
        <f t="shared" ca="1" si="4"/>
        <v>3</v>
      </c>
      <c r="R26">
        <f t="shared" ca="1" si="13"/>
        <v>3.4107058275979951</v>
      </c>
      <c r="S26">
        <f t="shared" ca="1" si="5"/>
        <v>3.4107058275979951</v>
      </c>
      <c r="T26">
        <f t="shared" ca="1" si="14"/>
        <v>3</v>
      </c>
      <c r="U26">
        <f t="shared" ca="1" si="6"/>
        <v>3</v>
      </c>
      <c r="V26">
        <f t="shared" ca="1" si="15"/>
        <v>1</v>
      </c>
      <c r="W26">
        <f t="shared" ca="1" si="7"/>
        <v>1</v>
      </c>
      <c r="X26">
        <f t="shared" ca="1" si="16"/>
        <v>3</v>
      </c>
      <c r="Y26">
        <f t="shared" ca="1" si="17"/>
        <v>3</v>
      </c>
      <c r="Z26" t="str">
        <f ca="1">IF(H26="Individual",VLOOKUP(RAND(),Individual!$A$18:$G$118,MATCH($G26,Individual!$A$18:$G$18,0),1),"None")</f>
        <v>None</v>
      </c>
      <c r="AA26" t="str">
        <f ca="1">IF(I26="Individual",VLOOKUP(RAND(),Individual!$A$18:$G$118,MATCH($G26,Individual!$A$18:$G$18,0),1),"None")</f>
        <v>None</v>
      </c>
    </row>
    <row r="27" spans="1:27" x14ac:dyDescent="0.35">
      <c r="A27" s="14">
        <f>A25+7</f>
        <v>45109</v>
      </c>
      <c r="B27" s="15" t="s">
        <v>2</v>
      </c>
      <c r="C27" s="1">
        <f t="shared" si="1"/>
        <v>1</v>
      </c>
      <c r="D27">
        <f t="shared" si="8"/>
        <v>16.901785714285712</v>
      </c>
      <c r="E27">
        <f t="shared" si="9"/>
        <v>16</v>
      </c>
      <c r="F27">
        <f t="shared" si="0"/>
        <v>100.99999999999972</v>
      </c>
      <c r="G27" s="15" t="s">
        <v>42</v>
      </c>
      <c r="H27" s="15" t="s">
        <v>9</v>
      </c>
      <c r="I27" s="15" t="s">
        <v>19</v>
      </c>
      <c r="J27" cm="1">
        <f t="array" aca="1" ref="J27" ca="1">C27*IF(H27="Individual",VLOOKUP(Z27,Individual!$A$10:$B$16,2,0),1)*1/OFFSET(INDIRECT("'Training Speed'!B"&amp;MATCH(IF(H27="Individual",Z27,H27),'Training Speed'!$A$1:$A$99,0)),FLOOR(OFFSET(L27,0,VLOOKUP(IF(H27="Individual",Z27,H27),'Training Speed'!$A$2:$M$99,13,0)),1),1+MATCH(D27,'Training Speed'!$D$1:$K$1,1))</f>
        <v>0.12180267965895249</v>
      </c>
      <c r="K27" cm="1">
        <f t="array" aca="1" ref="K27" ca="1">C27*0.667*IF(H27=I27,0.5,1)*IF(I27="Individual",VLOOKUP(AA27,Individual!$A$10:$B$16,2,0),1)*1/OFFSET(INDIRECT("'Training Speed'!B"&amp;MATCH(IF(I27="Individual",AA27,I27),'Training Speed'!$A$1:$A$99,0)),FLOOR(OFFSET(L27,0,VLOOKUP(IF(I27="Individual",AA27,I27),'Training Speed'!$A$2:$M$99,13,0)),1),1+MATCH(D27,'Training Speed'!$D$1:$K$1,1))</f>
        <v>4.0645947592931143E-2</v>
      </c>
      <c r="L27">
        <f t="shared" ca="1" si="10"/>
        <v>7.7573489242364744</v>
      </c>
      <c r="M27">
        <f t="shared" ca="1" si="2"/>
        <v>7.9197975514883581</v>
      </c>
      <c r="N27">
        <f t="shared" ca="1" si="11"/>
        <v>7.0838816573239116</v>
      </c>
      <c r="O27">
        <f t="shared" ca="1" si="3"/>
        <v>7.0838816573239116</v>
      </c>
      <c r="P27">
        <f t="shared" ca="1" si="12"/>
        <v>3</v>
      </c>
      <c r="Q27">
        <f t="shared" ca="1" si="4"/>
        <v>3</v>
      </c>
      <c r="R27">
        <f t="shared" ca="1" si="13"/>
        <v>3.4107058275979951</v>
      </c>
      <c r="S27">
        <f t="shared" ca="1" si="5"/>
        <v>3.4107058275979951</v>
      </c>
      <c r="T27">
        <f t="shared" ca="1" si="14"/>
        <v>3</v>
      </c>
      <c r="U27">
        <f t="shared" ca="1" si="6"/>
        <v>3</v>
      </c>
      <c r="V27">
        <f t="shared" ca="1" si="15"/>
        <v>1</v>
      </c>
      <c r="W27">
        <f t="shared" ca="1" si="7"/>
        <v>1</v>
      </c>
      <c r="X27">
        <f t="shared" ca="1" si="16"/>
        <v>3</v>
      </c>
      <c r="Y27">
        <f t="shared" ca="1" si="17"/>
        <v>3</v>
      </c>
      <c r="Z27" t="str">
        <f ca="1">IF(H27="Individual",VLOOKUP(RAND(),Individual!$A$18:$G$118,MATCH($G27,Individual!$A$18:$G$18,0),1),"None")</f>
        <v>None</v>
      </c>
      <c r="AA27" t="str">
        <f ca="1">IF(I27="Individual",VLOOKUP(RAND(),Individual!$A$18:$G$118,MATCH($G27,Individual!$A$18:$G$18,0),1),"None")</f>
        <v>None</v>
      </c>
    </row>
    <row r="28" spans="1:27" x14ac:dyDescent="0.35">
      <c r="A28" s="14">
        <f>A27+7</f>
        <v>45116</v>
      </c>
      <c r="B28" s="15" t="s">
        <v>2</v>
      </c>
      <c r="C28" s="1">
        <f t="shared" si="1"/>
        <v>1</v>
      </c>
      <c r="D28">
        <f t="shared" si="8"/>
        <v>16.964285714285712</v>
      </c>
      <c r="E28">
        <f t="shared" si="9"/>
        <v>16</v>
      </c>
      <c r="F28">
        <f t="shared" si="0"/>
        <v>107.99999999999972</v>
      </c>
      <c r="G28" s="15" t="s">
        <v>42</v>
      </c>
      <c r="H28" s="15" t="s">
        <v>9</v>
      </c>
      <c r="I28" s="15" t="s">
        <v>19</v>
      </c>
      <c r="J28" cm="1">
        <f t="array" aca="1" ref="J28" ca="1">C28*IF(H28="Individual",VLOOKUP(Z28,Individual!$A$10:$B$16,2,0),1)*1/OFFSET(INDIRECT("'Training Speed'!B"&amp;MATCH(IF(H28="Individual",Z28,H28),'Training Speed'!$A$1:$A$99,0)),FLOOR(OFFSET(L28,0,VLOOKUP(IF(H28="Individual",Z28,H28),'Training Speed'!$A$2:$M$99,13,0)),1),1+MATCH(D28,'Training Speed'!$D$1:$K$1,1))</f>
        <v>0.12180267965895249</v>
      </c>
      <c r="K28" cm="1">
        <f t="array" aca="1" ref="K28" ca="1">C28*0.667*IF(H28=I28,0.5,1)*IF(I28="Individual",VLOOKUP(AA28,Individual!$A$10:$B$16,2,0),1)*1/OFFSET(INDIRECT("'Training Speed'!B"&amp;MATCH(IF(I28="Individual",AA28,I28),'Training Speed'!$A$1:$A$99,0)),FLOOR(OFFSET(L28,0,VLOOKUP(IF(I28="Individual",AA28,I28),'Training Speed'!$A$2:$M$99,13,0)),1),1+MATCH(D28,'Training Speed'!$D$1:$K$1,1))</f>
        <v>4.0645947592931143E-2</v>
      </c>
      <c r="L28">
        <f t="shared" ca="1" si="10"/>
        <v>7.9197975514883581</v>
      </c>
      <c r="M28">
        <f t="shared" ca="1" si="2"/>
        <v>8.0822461787402418</v>
      </c>
      <c r="N28">
        <f t="shared" ca="1" si="11"/>
        <v>7.0838816573239116</v>
      </c>
      <c r="O28">
        <f t="shared" ca="1" si="3"/>
        <v>7.0838816573239116</v>
      </c>
      <c r="P28">
        <f t="shared" ca="1" si="12"/>
        <v>3</v>
      </c>
      <c r="Q28">
        <f t="shared" ca="1" si="4"/>
        <v>3</v>
      </c>
      <c r="R28">
        <f t="shared" ca="1" si="13"/>
        <v>3.4107058275979951</v>
      </c>
      <c r="S28">
        <f t="shared" ca="1" si="5"/>
        <v>3.4107058275979951</v>
      </c>
      <c r="T28">
        <f t="shared" ca="1" si="14"/>
        <v>3</v>
      </c>
      <c r="U28">
        <f t="shared" ca="1" si="6"/>
        <v>3</v>
      </c>
      <c r="V28">
        <f t="shared" ca="1" si="15"/>
        <v>1</v>
      </c>
      <c r="W28">
        <f t="shared" ca="1" si="7"/>
        <v>1</v>
      </c>
      <c r="X28">
        <f t="shared" ca="1" si="16"/>
        <v>3</v>
      </c>
      <c r="Y28">
        <f t="shared" ca="1" si="17"/>
        <v>3</v>
      </c>
      <c r="Z28" t="str">
        <f ca="1">IF(H28="Individual",VLOOKUP(RAND(),Individual!$A$18:$G$118,MATCH($G28,Individual!$A$18:$G$18,0),1),"None")</f>
        <v>None</v>
      </c>
      <c r="AA28" t="str">
        <f ca="1">IF(I28="Individual",VLOOKUP(RAND(),Individual!$A$18:$G$118,MATCH($G28,Individual!$A$18:$G$18,0),1),"None")</f>
        <v>None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D448-6970-4A08-BD74-F218763C6E49}">
  <dimension ref="A1:M99"/>
  <sheetViews>
    <sheetView workbookViewId="0">
      <selection activeCell="D1" sqref="D1:K1"/>
    </sheetView>
  </sheetViews>
  <sheetFormatPr defaultRowHeight="14.5" x14ac:dyDescent="0.35"/>
  <sheetData>
    <row r="1" spans="1:13" ht="15" thickBot="1" x14ac:dyDescent="0.4">
      <c r="A1" t="s">
        <v>1</v>
      </c>
      <c r="B1" s="5" t="s">
        <v>23</v>
      </c>
      <c r="C1" s="6" t="s">
        <v>24</v>
      </c>
      <c r="D1" s="13">
        <v>15</v>
      </c>
      <c r="E1" s="13">
        <v>15.5</v>
      </c>
      <c r="F1" s="13">
        <v>16</v>
      </c>
      <c r="G1" s="13">
        <v>16.5</v>
      </c>
      <c r="H1" s="13">
        <v>17</v>
      </c>
      <c r="I1" s="13">
        <v>17.5</v>
      </c>
      <c r="J1" s="13">
        <v>18</v>
      </c>
      <c r="K1" s="13">
        <v>18.5</v>
      </c>
      <c r="L1" t="s">
        <v>37</v>
      </c>
      <c r="M1" t="s">
        <v>38</v>
      </c>
    </row>
    <row r="2" spans="1:13" x14ac:dyDescent="0.35">
      <c r="A2" t="s">
        <v>9</v>
      </c>
      <c r="B2" s="2">
        <v>0</v>
      </c>
      <c r="C2" s="2">
        <v>1</v>
      </c>
      <c r="D2" s="3">
        <v>3.91</v>
      </c>
      <c r="E2" s="3">
        <v>4.17</v>
      </c>
      <c r="F2" s="3">
        <v>4.46</v>
      </c>
      <c r="G2" s="3">
        <v>4.76</v>
      </c>
      <c r="H2" s="3">
        <v>5.08</v>
      </c>
      <c r="I2" s="3">
        <v>5.42</v>
      </c>
      <c r="J2" s="3">
        <v>5.79</v>
      </c>
      <c r="K2" s="3">
        <v>6.18</v>
      </c>
      <c r="L2" t="s">
        <v>9</v>
      </c>
      <c r="M2">
        <v>0</v>
      </c>
    </row>
    <row r="3" spans="1:13" x14ac:dyDescent="0.35">
      <c r="A3" t="s">
        <v>9</v>
      </c>
      <c r="B3" s="2">
        <v>1</v>
      </c>
      <c r="C3" s="2">
        <v>2</v>
      </c>
      <c r="D3" s="4">
        <v>4.49</v>
      </c>
      <c r="E3" s="4">
        <v>4.79</v>
      </c>
      <c r="F3" s="4">
        <v>5.1100000000000003</v>
      </c>
      <c r="G3" s="4">
        <v>5.46</v>
      </c>
      <c r="H3" s="4">
        <v>5.83</v>
      </c>
      <c r="I3" s="4">
        <v>6.22</v>
      </c>
      <c r="J3" s="4">
        <v>6.65</v>
      </c>
      <c r="K3" s="4">
        <v>7.1</v>
      </c>
      <c r="L3" t="s">
        <v>9</v>
      </c>
      <c r="M3">
        <v>0</v>
      </c>
    </row>
    <row r="4" spans="1:13" x14ac:dyDescent="0.35">
      <c r="A4" t="s">
        <v>9</v>
      </c>
      <c r="B4" s="2">
        <v>2</v>
      </c>
      <c r="C4" s="2">
        <v>3</v>
      </c>
      <c r="D4" s="3">
        <v>5</v>
      </c>
      <c r="E4" s="3">
        <v>5.34</v>
      </c>
      <c r="F4" s="3">
        <v>5.71</v>
      </c>
      <c r="G4" s="3">
        <v>6.09</v>
      </c>
      <c r="H4" s="3">
        <v>6.5</v>
      </c>
      <c r="I4" s="3">
        <v>6.94</v>
      </c>
      <c r="J4" s="3">
        <v>7.41</v>
      </c>
      <c r="K4" s="3">
        <v>7.92</v>
      </c>
      <c r="L4" t="s">
        <v>9</v>
      </c>
      <c r="M4">
        <v>0</v>
      </c>
    </row>
    <row r="5" spans="1:13" x14ac:dyDescent="0.35">
      <c r="A5" t="s">
        <v>9</v>
      </c>
      <c r="B5" s="2">
        <v>3</v>
      </c>
      <c r="C5" s="2">
        <v>4</v>
      </c>
      <c r="D5" s="4">
        <v>5.47</v>
      </c>
      <c r="E5" s="4">
        <v>5.84</v>
      </c>
      <c r="F5" s="4">
        <v>6.23</v>
      </c>
      <c r="G5" s="4">
        <v>6.65</v>
      </c>
      <c r="H5" s="4">
        <v>7.1</v>
      </c>
      <c r="I5" s="4">
        <v>7.59</v>
      </c>
      <c r="J5" s="4">
        <v>8.1</v>
      </c>
      <c r="K5" s="4">
        <v>8.65</v>
      </c>
      <c r="L5" t="s">
        <v>9</v>
      </c>
      <c r="M5">
        <v>0</v>
      </c>
    </row>
    <row r="6" spans="1:13" x14ac:dyDescent="0.35">
      <c r="A6" t="s">
        <v>9</v>
      </c>
      <c r="B6" s="2">
        <v>4</v>
      </c>
      <c r="C6" s="2">
        <v>5</v>
      </c>
      <c r="D6" s="3">
        <v>5.87</v>
      </c>
      <c r="E6" s="3">
        <v>6.27</v>
      </c>
      <c r="F6" s="3">
        <v>6.69</v>
      </c>
      <c r="G6" s="3">
        <v>7.15</v>
      </c>
      <c r="H6" s="3">
        <v>7.63</v>
      </c>
      <c r="I6" s="3">
        <v>8.15</v>
      </c>
      <c r="J6" s="3">
        <v>8.6999999999999993</v>
      </c>
      <c r="K6" s="3">
        <v>9.2899999999999991</v>
      </c>
      <c r="L6" t="s">
        <v>9</v>
      </c>
      <c r="M6">
        <v>0</v>
      </c>
    </row>
    <row r="7" spans="1:13" x14ac:dyDescent="0.35">
      <c r="A7" t="s">
        <v>9</v>
      </c>
      <c r="B7" s="2">
        <v>5</v>
      </c>
      <c r="C7" s="2">
        <v>6</v>
      </c>
      <c r="D7" s="4">
        <v>6.22</v>
      </c>
      <c r="E7" s="4">
        <v>6.64</v>
      </c>
      <c r="F7" s="4">
        <v>7.09</v>
      </c>
      <c r="G7" s="4">
        <v>7.57</v>
      </c>
      <c r="H7" s="4">
        <v>8.08</v>
      </c>
      <c r="I7" s="4">
        <v>8.6300000000000008</v>
      </c>
      <c r="J7" s="4">
        <v>9.2100000000000009</v>
      </c>
      <c r="K7" s="4">
        <v>9.84</v>
      </c>
      <c r="L7" t="s">
        <v>9</v>
      </c>
      <c r="M7">
        <v>0</v>
      </c>
    </row>
    <row r="8" spans="1:13" x14ac:dyDescent="0.35">
      <c r="A8" t="s">
        <v>9</v>
      </c>
      <c r="B8" s="2">
        <v>6</v>
      </c>
      <c r="C8" s="2">
        <v>7</v>
      </c>
      <c r="D8" s="3">
        <v>6.51</v>
      </c>
      <c r="E8" s="3">
        <v>6.95</v>
      </c>
      <c r="F8" s="3">
        <v>7.42</v>
      </c>
      <c r="G8" s="3">
        <v>7.92</v>
      </c>
      <c r="H8" s="3">
        <v>8.4600000000000009</v>
      </c>
      <c r="I8" s="3">
        <v>9.0299999999999994</v>
      </c>
      <c r="J8" s="3">
        <v>9.64</v>
      </c>
      <c r="K8" s="3">
        <v>10.3</v>
      </c>
      <c r="L8" t="s">
        <v>9</v>
      </c>
      <c r="M8">
        <v>0</v>
      </c>
    </row>
    <row r="9" spans="1:13" x14ac:dyDescent="0.35">
      <c r="A9" t="s">
        <v>9</v>
      </c>
      <c r="B9" s="2">
        <v>7</v>
      </c>
      <c r="C9" s="2">
        <v>8</v>
      </c>
      <c r="D9" s="4">
        <v>6.74</v>
      </c>
      <c r="E9" s="4">
        <v>7.2</v>
      </c>
      <c r="F9" s="4">
        <v>7.69</v>
      </c>
      <c r="G9" s="4">
        <v>8.2100000000000009</v>
      </c>
      <c r="H9" s="4">
        <v>8.76</v>
      </c>
      <c r="I9" s="4">
        <v>9.36</v>
      </c>
      <c r="J9" s="4">
        <v>9.99</v>
      </c>
      <c r="K9" s="4">
        <v>10.67</v>
      </c>
      <c r="L9" t="s">
        <v>9</v>
      </c>
      <c r="M9">
        <v>0</v>
      </c>
    </row>
    <row r="10" spans="1:13" x14ac:dyDescent="0.35">
      <c r="A10" t="s">
        <v>9</v>
      </c>
      <c r="B10" s="2">
        <v>8</v>
      </c>
      <c r="C10" s="2">
        <v>8.1</v>
      </c>
      <c r="D10" s="3">
        <f>0.68*10</f>
        <v>6.8000000000000007</v>
      </c>
      <c r="E10" s="3">
        <f>0.72*10</f>
        <v>7.1999999999999993</v>
      </c>
      <c r="F10" s="3">
        <f>0.77*10</f>
        <v>7.7</v>
      </c>
      <c r="G10" s="3">
        <f>0.82*10</f>
        <v>8.1999999999999993</v>
      </c>
      <c r="H10" s="3">
        <f>0.88*10</f>
        <v>8.8000000000000007</v>
      </c>
      <c r="I10" s="3">
        <f>0.94*10</f>
        <v>9.3999999999999986</v>
      </c>
      <c r="J10" s="3">
        <f>1*10</f>
        <v>10</v>
      </c>
      <c r="K10" s="3">
        <f>1.07*10</f>
        <v>10.700000000000001</v>
      </c>
      <c r="L10" t="s">
        <v>9</v>
      </c>
      <c r="M10">
        <v>0</v>
      </c>
    </row>
    <row r="11" spans="1:13" x14ac:dyDescent="0.35">
      <c r="A11" t="s">
        <v>14</v>
      </c>
      <c r="B11" s="2">
        <v>0</v>
      </c>
      <c r="C11" s="2">
        <v>1</v>
      </c>
      <c r="D11" s="3">
        <v>3.67</v>
      </c>
      <c r="E11" s="3">
        <v>3.91</v>
      </c>
      <c r="F11" s="3">
        <v>4.18</v>
      </c>
      <c r="G11" s="3">
        <v>4.46</v>
      </c>
      <c r="H11" s="3">
        <v>4.76</v>
      </c>
      <c r="I11" s="3">
        <v>5.09</v>
      </c>
      <c r="J11" s="3">
        <v>5.43</v>
      </c>
      <c r="K11" s="3">
        <v>5.8</v>
      </c>
      <c r="L11" t="s">
        <v>14</v>
      </c>
      <c r="M11">
        <v>2</v>
      </c>
    </row>
    <row r="12" spans="1:13" x14ac:dyDescent="0.35">
      <c r="A12" t="s">
        <v>14</v>
      </c>
      <c r="B12" s="2">
        <v>1</v>
      </c>
      <c r="C12" s="2">
        <v>2</v>
      </c>
      <c r="D12" s="4">
        <v>4.21</v>
      </c>
      <c r="E12" s="4">
        <v>4.49</v>
      </c>
      <c r="F12" s="4">
        <v>4.79</v>
      </c>
      <c r="G12" s="4">
        <v>5.12</v>
      </c>
      <c r="H12" s="4">
        <v>5.47</v>
      </c>
      <c r="I12" s="4">
        <v>5.84</v>
      </c>
      <c r="J12" s="4">
        <v>6.23</v>
      </c>
      <c r="K12" s="4">
        <v>6.65</v>
      </c>
      <c r="L12" t="s">
        <v>14</v>
      </c>
      <c r="M12">
        <v>2</v>
      </c>
    </row>
    <row r="13" spans="1:13" x14ac:dyDescent="0.35">
      <c r="A13" t="s">
        <v>14</v>
      </c>
      <c r="B13" s="2">
        <v>2</v>
      </c>
      <c r="C13" s="2">
        <v>3</v>
      </c>
      <c r="D13" s="3">
        <v>4.6900000000000004</v>
      </c>
      <c r="E13" s="3">
        <v>5.01</v>
      </c>
      <c r="F13" s="3">
        <v>5.35</v>
      </c>
      <c r="G13" s="3">
        <v>5.71</v>
      </c>
      <c r="H13" s="3">
        <v>6.1</v>
      </c>
      <c r="I13" s="3">
        <v>6.51</v>
      </c>
      <c r="J13" s="3">
        <v>6.95</v>
      </c>
      <c r="K13" s="3">
        <v>7.42</v>
      </c>
      <c r="L13" t="s">
        <v>14</v>
      </c>
      <c r="M13">
        <v>2</v>
      </c>
    </row>
    <row r="14" spans="1:13" x14ac:dyDescent="0.35">
      <c r="A14" t="s">
        <v>14</v>
      </c>
      <c r="B14" s="2">
        <v>3</v>
      </c>
      <c r="C14" s="2">
        <v>4</v>
      </c>
      <c r="D14" s="4">
        <v>5.13</v>
      </c>
      <c r="E14" s="4">
        <v>5.47</v>
      </c>
      <c r="F14" s="4">
        <v>5.84</v>
      </c>
      <c r="G14" s="4">
        <v>6.24</v>
      </c>
      <c r="H14" s="4">
        <v>6.66</v>
      </c>
      <c r="I14" s="4">
        <v>7.11</v>
      </c>
      <c r="J14" s="4">
        <v>7.59</v>
      </c>
      <c r="K14" s="4">
        <v>8.11</v>
      </c>
      <c r="L14" t="s">
        <v>14</v>
      </c>
      <c r="M14">
        <v>2</v>
      </c>
    </row>
    <row r="15" spans="1:13" x14ac:dyDescent="0.35">
      <c r="A15" t="s">
        <v>14</v>
      </c>
      <c r="B15" s="2">
        <v>4</v>
      </c>
      <c r="C15" s="2">
        <v>5</v>
      </c>
      <c r="D15" s="3">
        <v>5.5</v>
      </c>
      <c r="E15" s="3">
        <v>5.88</v>
      </c>
      <c r="F15" s="3">
        <v>6.28</v>
      </c>
      <c r="G15" s="3">
        <v>6.7</v>
      </c>
      <c r="H15" s="3">
        <v>7.15</v>
      </c>
      <c r="I15" s="3">
        <v>7.64</v>
      </c>
      <c r="J15" s="3">
        <v>8.16</v>
      </c>
      <c r="K15" s="3">
        <v>8.7100000000000009</v>
      </c>
      <c r="L15" t="s">
        <v>14</v>
      </c>
      <c r="M15">
        <v>2</v>
      </c>
    </row>
    <row r="16" spans="1:13" x14ac:dyDescent="0.35">
      <c r="A16" t="s">
        <v>14</v>
      </c>
      <c r="B16" s="2">
        <v>5</v>
      </c>
      <c r="C16" s="2">
        <v>6</v>
      </c>
      <c r="D16" s="4">
        <v>5.83</v>
      </c>
      <c r="E16" s="4">
        <v>6.23</v>
      </c>
      <c r="F16" s="4">
        <v>6.65</v>
      </c>
      <c r="G16" s="4">
        <v>7.1</v>
      </c>
      <c r="H16" s="4">
        <v>7.58</v>
      </c>
      <c r="I16" s="4">
        <v>8.09</v>
      </c>
      <c r="J16" s="4">
        <v>8.64</v>
      </c>
      <c r="K16" s="4">
        <v>9.2200000000000006</v>
      </c>
      <c r="L16" t="s">
        <v>14</v>
      </c>
      <c r="M16">
        <v>2</v>
      </c>
    </row>
    <row r="17" spans="1:13" x14ac:dyDescent="0.35">
      <c r="A17" t="s">
        <v>14</v>
      </c>
      <c r="B17" s="2">
        <v>6</v>
      </c>
      <c r="C17" s="2">
        <v>7</v>
      </c>
      <c r="D17" s="3">
        <v>6.1</v>
      </c>
      <c r="E17" s="3">
        <v>6.52</v>
      </c>
      <c r="F17" s="3">
        <v>6.96</v>
      </c>
      <c r="G17" s="3">
        <v>7.43</v>
      </c>
      <c r="H17" s="3">
        <v>7.93</v>
      </c>
      <c r="I17" s="3">
        <v>8.4700000000000006</v>
      </c>
      <c r="J17" s="3">
        <v>9.0399999999999991</v>
      </c>
      <c r="K17" s="3">
        <v>9.65</v>
      </c>
      <c r="L17" t="s">
        <v>14</v>
      </c>
      <c r="M17">
        <v>2</v>
      </c>
    </row>
    <row r="18" spans="1:13" x14ac:dyDescent="0.35">
      <c r="A18" t="s">
        <v>14</v>
      </c>
      <c r="B18" s="2">
        <v>7</v>
      </c>
      <c r="C18" s="2">
        <v>8</v>
      </c>
      <c r="D18" s="4">
        <v>6.32</v>
      </c>
      <c r="E18" s="4">
        <v>6.75</v>
      </c>
      <c r="F18" s="4">
        <v>7.21</v>
      </c>
      <c r="G18" s="4">
        <v>7.69</v>
      </c>
      <c r="H18" s="4">
        <v>8.2200000000000006</v>
      </c>
      <c r="I18" s="4">
        <v>8.77</v>
      </c>
      <c r="J18" s="4">
        <v>9.3699999999999992</v>
      </c>
      <c r="K18" s="4">
        <v>10</v>
      </c>
      <c r="L18" t="s">
        <v>14</v>
      </c>
      <c r="M18">
        <v>2</v>
      </c>
    </row>
    <row r="19" spans="1:13" x14ac:dyDescent="0.35">
      <c r="A19" t="s">
        <v>14</v>
      </c>
      <c r="B19" s="2">
        <v>8</v>
      </c>
      <c r="C19" s="2">
        <v>8.1</v>
      </c>
      <c r="D19" s="3">
        <f>10*0.63</f>
        <v>6.3</v>
      </c>
      <c r="E19" s="3">
        <f>10*0.68</f>
        <v>6.8000000000000007</v>
      </c>
      <c r="F19" s="3">
        <f>10*0.72</f>
        <v>7.1999999999999993</v>
      </c>
      <c r="G19" s="3">
        <f>10*0.77</f>
        <v>7.7</v>
      </c>
      <c r="H19" s="3">
        <f>10*0.82</f>
        <v>8.1999999999999993</v>
      </c>
      <c r="I19" s="3">
        <f>10*0.88</f>
        <v>8.8000000000000007</v>
      </c>
      <c r="J19" s="3">
        <f>10*0.94</f>
        <v>9.3999999999999986</v>
      </c>
      <c r="K19" s="3">
        <f>10*1</f>
        <v>10</v>
      </c>
      <c r="L19" t="s">
        <v>14</v>
      </c>
      <c r="M19">
        <v>2</v>
      </c>
    </row>
    <row r="20" spans="1:13" x14ac:dyDescent="0.35">
      <c r="A20" t="s">
        <v>15</v>
      </c>
      <c r="B20" s="2">
        <v>0</v>
      </c>
      <c r="C20" s="2">
        <v>1</v>
      </c>
      <c r="D20" s="3">
        <v>3.51</v>
      </c>
      <c r="E20" s="3">
        <v>3.75</v>
      </c>
      <c r="F20" s="3">
        <v>4</v>
      </c>
      <c r="G20" s="3">
        <v>4.2699999999999996</v>
      </c>
      <c r="H20" s="3">
        <v>4.5599999999999996</v>
      </c>
      <c r="I20" s="3">
        <v>4.87</v>
      </c>
      <c r="J20" s="3">
        <v>5.2</v>
      </c>
      <c r="K20" s="3">
        <v>5.55</v>
      </c>
      <c r="L20" t="s">
        <v>15</v>
      </c>
      <c r="M20">
        <v>8</v>
      </c>
    </row>
    <row r="21" spans="1:13" x14ac:dyDescent="0.35">
      <c r="A21" t="s">
        <v>15</v>
      </c>
      <c r="B21" s="2">
        <v>1</v>
      </c>
      <c r="C21" s="2">
        <v>2</v>
      </c>
      <c r="D21" s="4">
        <v>4.03</v>
      </c>
      <c r="E21" s="4">
        <v>4.3</v>
      </c>
      <c r="F21" s="4">
        <v>4.59</v>
      </c>
      <c r="G21" s="4">
        <v>4.9000000000000004</v>
      </c>
      <c r="H21" s="4">
        <v>5.23</v>
      </c>
      <c r="I21" s="4">
        <v>5.59</v>
      </c>
      <c r="J21" s="4">
        <v>5.96</v>
      </c>
      <c r="K21" s="4">
        <v>6.37</v>
      </c>
      <c r="L21" t="s">
        <v>15</v>
      </c>
      <c r="M21">
        <v>8</v>
      </c>
    </row>
    <row r="22" spans="1:13" x14ac:dyDescent="0.35">
      <c r="A22" t="s">
        <v>15</v>
      </c>
      <c r="B22" s="2">
        <v>2</v>
      </c>
      <c r="C22" s="2">
        <v>3</v>
      </c>
      <c r="D22" s="3">
        <v>4.49</v>
      </c>
      <c r="E22" s="3">
        <v>4.8</v>
      </c>
      <c r="F22" s="3">
        <v>5.12</v>
      </c>
      <c r="G22" s="3">
        <v>5.47</v>
      </c>
      <c r="H22" s="3">
        <v>5.84</v>
      </c>
      <c r="I22" s="3">
        <v>6.23</v>
      </c>
      <c r="J22" s="3">
        <v>6.65</v>
      </c>
      <c r="K22" s="3">
        <v>7.1</v>
      </c>
      <c r="L22" t="s">
        <v>15</v>
      </c>
      <c r="M22">
        <v>8</v>
      </c>
    </row>
    <row r="23" spans="1:13" x14ac:dyDescent="0.35">
      <c r="A23" t="s">
        <v>15</v>
      </c>
      <c r="B23" s="2">
        <v>3</v>
      </c>
      <c r="C23" s="2">
        <v>4</v>
      </c>
      <c r="D23" s="4">
        <v>4.91</v>
      </c>
      <c r="E23" s="4">
        <v>5.24</v>
      </c>
      <c r="F23" s="4">
        <v>5.59</v>
      </c>
      <c r="G23" s="4">
        <v>5.97</v>
      </c>
      <c r="H23" s="4">
        <v>6.38</v>
      </c>
      <c r="I23" s="4">
        <v>6.81</v>
      </c>
      <c r="J23" s="4">
        <v>7.27</v>
      </c>
      <c r="K23" s="4">
        <v>7.76</v>
      </c>
      <c r="L23" t="s">
        <v>15</v>
      </c>
      <c r="M23">
        <v>8</v>
      </c>
    </row>
    <row r="24" spans="1:13" x14ac:dyDescent="0.35">
      <c r="A24" t="s">
        <v>15</v>
      </c>
      <c r="B24" s="2">
        <v>4</v>
      </c>
      <c r="C24" s="2">
        <v>5</v>
      </c>
      <c r="D24" s="3">
        <v>5.27</v>
      </c>
      <c r="E24" s="3">
        <v>5.63</v>
      </c>
      <c r="F24" s="3">
        <v>6.01</v>
      </c>
      <c r="G24" s="3">
        <v>6.41</v>
      </c>
      <c r="H24" s="3">
        <v>6.85</v>
      </c>
      <c r="I24" s="3">
        <v>7.31</v>
      </c>
      <c r="J24" s="3">
        <v>7.81</v>
      </c>
      <c r="K24" s="3">
        <v>8.34</v>
      </c>
      <c r="L24" t="s">
        <v>15</v>
      </c>
      <c r="M24">
        <v>8</v>
      </c>
    </row>
    <row r="25" spans="1:13" x14ac:dyDescent="0.35">
      <c r="A25" t="s">
        <v>15</v>
      </c>
      <c r="B25" s="2">
        <v>5</v>
      </c>
      <c r="C25" s="2">
        <v>6</v>
      </c>
      <c r="D25" s="4">
        <v>5.58</v>
      </c>
      <c r="E25" s="4">
        <v>5.96</v>
      </c>
      <c r="F25" s="4">
        <v>6.36</v>
      </c>
      <c r="G25" s="4">
        <v>6.79</v>
      </c>
      <c r="H25" s="4">
        <v>7.25</v>
      </c>
      <c r="I25" s="4">
        <v>7.74</v>
      </c>
      <c r="J25" s="4">
        <v>8.27</v>
      </c>
      <c r="K25" s="4">
        <v>8.83</v>
      </c>
      <c r="L25" t="s">
        <v>15</v>
      </c>
      <c r="M25">
        <v>8</v>
      </c>
    </row>
    <row r="26" spans="1:13" x14ac:dyDescent="0.35">
      <c r="A26" t="s">
        <v>15</v>
      </c>
      <c r="B26" s="2">
        <v>6</v>
      </c>
      <c r="C26" s="2">
        <v>7</v>
      </c>
      <c r="D26" s="3">
        <v>5.84</v>
      </c>
      <c r="E26" s="3">
        <v>6.24</v>
      </c>
      <c r="F26" s="3">
        <v>6.66</v>
      </c>
      <c r="G26" s="3">
        <v>7.11</v>
      </c>
      <c r="H26" s="3">
        <v>7.59</v>
      </c>
      <c r="I26" s="3">
        <v>8.11</v>
      </c>
      <c r="J26" s="3">
        <v>8.66</v>
      </c>
      <c r="K26" s="3">
        <v>9.24</v>
      </c>
      <c r="L26" t="s">
        <v>15</v>
      </c>
      <c r="M26">
        <v>8</v>
      </c>
    </row>
    <row r="27" spans="1:13" x14ac:dyDescent="0.35">
      <c r="A27" t="s">
        <v>15</v>
      </c>
      <c r="B27" s="2">
        <v>7</v>
      </c>
      <c r="C27" s="2">
        <v>8</v>
      </c>
      <c r="D27" s="4">
        <v>6.05</v>
      </c>
      <c r="E27" s="4">
        <v>6.46</v>
      </c>
      <c r="F27" s="4">
        <v>6.9</v>
      </c>
      <c r="G27" s="4">
        <v>7.37</v>
      </c>
      <c r="H27" s="4">
        <v>7.86</v>
      </c>
      <c r="I27" s="4">
        <v>8.4</v>
      </c>
      <c r="J27" s="4">
        <v>8.9700000000000006</v>
      </c>
      <c r="K27" s="4">
        <v>9.57</v>
      </c>
      <c r="L27" t="s">
        <v>15</v>
      </c>
      <c r="M27">
        <v>8</v>
      </c>
    </row>
    <row r="28" spans="1:13" x14ac:dyDescent="0.35">
      <c r="A28" t="s">
        <v>15</v>
      </c>
      <c r="B28" s="2">
        <v>8</v>
      </c>
      <c r="C28" s="2">
        <v>8.1</v>
      </c>
      <c r="D28" s="3">
        <f>10*0.61</f>
        <v>6.1</v>
      </c>
      <c r="E28" s="3">
        <f>10*0.65</f>
        <v>6.5</v>
      </c>
      <c r="F28" s="3">
        <f>10*0.69</f>
        <v>6.8999999999999995</v>
      </c>
      <c r="G28" s="3">
        <f>10*0.74</f>
        <v>7.4</v>
      </c>
      <c r="H28" s="3">
        <f>10*0.79</f>
        <v>7.9</v>
      </c>
      <c r="I28" s="3">
        <f>10*0.84</f>
        <v>8.4</v>
      </c>
      <c r="J28" s="3">
        <f>10*0.9</f>
        <v>9</v>
      </c>
      <c r="K28" s="3">
        <f>10*0.96</f>
        <v>9.6</v>
      </c>
      <c r="L28" t="s">
        <v>15</v>
      </c>
      <c r="M28">
        <v>8</v>
      </c>
    </row>
    <row r="29" spans="1:13" x14ac:dyDescent="0.35">
      <c r="A29" t="s">
        <v>16</v>
      </c>
      <c r="B29" s="2">
        <v>0</v>
      </c>
      <c r="C29" s="2">
        <v>1</v>
      </c>
      <c r="D29" s="3">
        <v>3.19</v>
      </c>
      <c r="E29" s="3">
        <v>3.41</v>
      </c>
      <c r="F29" s="3">
        <v>3.64</v>
      </c>
      <c r="G29" s="3">
        <v>3.89</v>
      </c>
      <c r="H29" s="3">
        <v>4.1500000000000004</v>
      </c>
      <c r="I29" s="3">
        <v>4.43</v>
      </c>
      <c r="J29" s="3">
        <v>4.7300000000000004</v>
      </c>
      <c r="K29" s="3">
        <v>5.05</v>
      </c>
      <c r="L29" t="s">
        <v>16</v>
      </c>
      <c r="M29">
        <v>6</v>
      </c>
    </row>
    <row r="30" spans="1:13" x14ac:dyDescent="0.35">
      <c r="A30" t="s">
        <v>16</v>
      </c>
      <c r="B30" s="2">
        <v>1</v>
      </c>
      <c r="C30" s="2">
        <v>2</v>
      </c>
      <c r="D30" s="4">
        <v>3.67</v>
      </c>
      <c r="E30" s="4">
        <v>3.91</v>
      </c>
      <c r="F30" s="4">
        <v>4.18</v>
      </c>
      <c r="G30" s="4">
        <v>4.46</v>
      </c>
      <c r="H30" s="4">
        <v>4.76</v>
      </c>
      <c r="I30" s="4">
        <v>5.09</v>
      </c>
      <c r="J30" s="4">
        <v>5.43</v>
      </c>
      <c r="K30" s="4">
        <v>5.8</v>
      </c>
      <c r="L30" t="s">
        <v>16</v>
      </c>
      <c r="M30">
        <v>6</v>
      </c>
    </row>
    <row r="31" spans="1:13" x14ac:dyDescent="0.35">
      <c r="A31" t="s">
        <v>16</v>
      </c>
      <c r="B31" s="2">
        <v>2</v>
      </c>
      <c r="C31" s="2">
        <v>3</v>
      </c>
      <c r="D31" s="3">
        <v>4.09</v>
      </c>
      <c r="E31" s="3">
        <v>4.37</v>
      </c>
      <c r="F31" s="3">
        <v>4.66</v>
      </c>
      <c r="G31" s="3">
        <v>4.9800000000000004</v>
      </c>
      <c r="H31" s="3">
        <v>5.31</v>
      </c>
      <c r="I31" s="3">
        <v>5.67</v>
      </c>
      <c r="J31" s="3">
        <v>6.06</v>
      </c>
      <c r="K31" s="3">
        <v>6.47</v>
      </c>
      <c r="L31" t="s">
        <v>16</v>
      </c>
      <c r="M31">
        <v>6</v>
      </c>
    </row>
    <row r="32" spans="1:13" x14ac:dyDescent="0.35">
      <c r="A32" t="s">
        <v>16</v>
      </c>
      <c r="B32" s="2">
        <v>3</v>
      </c>
      <c r="C32" s="2">
        <v>4</v>
      </c>
      <c r="D32" s="4">
        <v>4.47</v>
      </c>
      <c r="E32" s="4">
        <v>4.7699999999999996</v>
      </c>
      <c r="F32" s="4">
        <v>5.09</v>
      </c>
      <c r="G32" s="4">
        <v>5.44</v>
      </c>
      <c r="H32" s="4">
        <v>5.81</v>
      </c>
      <c r="I32" s="4">
        <v>6.2</v>
      </c>
      <c r="J32" s="4">
        <v>6.62</v>
      </c>
      <c r="K32" s="4">
        <v>7.07</v>
      </c>
      <c r="L32" t="s">
        <v>16</v>
      </c>
      <c r="M32">
        <v>6</v>
      </c>
    </row>
    <row r="33" spans="1:13" x14ac:dyDescent="0.35">
      <c r="A33" t="s">
        <v>16</v>
      </c>
      <c r="B33" s="2">
        <v>4</v>
      </c>
      <c r="C33" s="2">
        <v>5</v>
      </c>
      <c r="D33" s="3">
        <v>4.8</v>
      </c>
      <c r="E33" s="3">
        <v>5.12</v>
      </c>
      <c r="F33" s="3">
        <v>5.47</v>
      </c>
      <c r="G33" s="3">
        <v>5.84</v>
      </c>
      <c r="H33" s="3">
        <v>6.24</v>
      </c>
      <c r="I33" s="3">
        <v>6.66</v>
      </c>
      <c r="J33" s="3">
        <v>7.11</v>
      </c>
      <c r="K33" s="3">
        <v>7.59</v>
      </c>
      <c r="L33" t="s">
        <v>16</v>
      </c>
      <c r="M33">
        <v>6</v>
      </c>
    </row>
    <row r="34" spans="1:13" x14ac:dyDescent="0.35">
      <c r="A34" t="s">
        <v>16</v>
      </c>
      <c r="B34" s="2">
        <v>5</v>
      </c>
      <c r="C34" s="2">
        <v>6</v>
      </c>
      <c r="D34" s="4">
        <v>5.08</v>
      </c>
      <c r="E34" s="4">
        <v>5.43</v>
      </c>
      <c r="F34" s="4">
        <v>5.79</v>
      </c>
      <c r="G34" s="4">
        <v>6.19</v>
      </c>
      <c r="H34" s="4">
        <v>6.6</v>
      </c>
      <c r="I34" s="4">
        <v>7.05</v>
      </c>
      <c r="J34" s="4">
        <v>7.53</v>
      </c>
      <c r="K34" s="4">
        <v>8.0399999999999991</v>
      </c>
      <c r="L34" t="s">
        <v>16</v>
      </c>
      <c r="M34">
        <v>6</v>
      </c>
    </row>
    <row r="35" spans="1:13" x14ac:dyDescent="0.35">
      <c r="A35" t="s">
        <v>16</v>
      </c>
      <c r="B35" s="2">
        <v>6</v>
      </c>
      <c r="C35" s="2">
        <v>7</v>
      </c>
      <c r="D35" s="3">
        <v>5.32</v>
      </c>
      <c r="E35" s="3">
        <v>5.68</v>
      </c>
      <c r="F35" s="3">
        <v>6.06</v>
      </c>
      <c r="G35" s="3">
        <v>6.47</v>
      </c>
      <c r="H35" s="3">
        <v>6.91</v>
      </c>
      <c r="I35" s="3">
        <v>7.38</v>
      </c>
      <c r="J35" s="3">
        <v>7.88</v>
      </c>
      <c r="K35" s="3">
        <v>8.41</v>
      </c>
      <c r="L35" t="s">
        <v>16</v>
      </c>
      <c r="M35">
        <v>6</v>
      </c>
    </row>
    <row r="36" spans="1:13" x14ac:dyDescent="0.35">
      <c r="A36" t="s">
        <v>16</v>
      </c>
      <c r="B36" s="2">
        <v>7</v>
      </c>
      <c r="C36" s="2">
        <v>8</v>
      </c>
      <c r="D36" s="4">
        <v>5.51</v>
      </c>
      <c r="E36" s="4">
        <v>5.88</v>
      </c>
      <c r="F36" s="4">
        <v>6.28</v>
      </c>
      <c r="G36" s="4">
        <v>6.71</v>
      </c>
      <c r="H36" s="4">
        <v>7.16</v>
      </c>
      <c r="I36" s="4">
        <v>7.65</v>
      </c>
      <c r="J36" s="4">
        <v>8.16</v>
      </c>
      <c r="K36" s="4">
        <v>8.7200000000000006</v>
      </c>
      <c r="L36" t="s">
        <v>16</v>
      </c>
      <c r="M36">
        <v>6</v>
      </c>
    </row>
    <row r="37" spans="1:13" x14ac:dyDescent="0.35">
      <c r="A37" t="s">
        <v>16</v>
      </c>
      <c r="B37" s="2">
        <v>8</v>
      </c>
      <c r="C37" s="2">
        <v>8.1</v>
      </c>
      <c r="D37" s="3">
        <f>10*0.55</f>
        <v>5.5</v>
      </c>
      <c r="E37" s="3">
        <f>10*0.59</f>
        <v>5.8999999999999995</v>
      </c>
      <c r="F37" s="3">
        <f>10*0.63</f>
        <v>6.3</v>
      </c>
      <c r="G37" s="3">
        <f>10*0.67</f>
        <v>6.7</v>
      </c>
      <c r="H37" s="3">
        <f>10*0.72</f>
        <v>7.1999999999999993</v>
      </c>
      <c r="I37" s="3">
        <f>10*0.77</f>
        <v>7.7</v>
      </c>
      <c r="J37" s="3">
        <f>10*0.82</f>
        <v>8.1999999999999993</v>
      </c>
      <c r="K37" s="3">
        <f>10*0.87</f>
        <v>8.6999999999999993</v>
      </c>
      <c r="L37" t="s">
        <v>16</v>
      </c>
      <c r="M37">
        <v>6</v>
      </c>
    </row>
    <row r="38" spans="1:13" x14ac:dyDescent="0.35">
      <c r="A38" t="s">
        <v>17</v>
      </c>
      <c r="B38" s="2">
        <v>0</v>
      </c>
      <c r="C38" s="2">
        <v>1</v>
      </c>
      <c r="D38" s="3">
        <v>2.4900000000000002</v>
      </c>
      <c r="E38" s="3">
        <v>2.66</v>
      </c>
      <c r="F38" s="3">
        <v>2.84</v>
      </c>
      <c r="G38" s="3">
        <v>3.03</v>
      </c>
      <c r="H38" s="3">
        <v>3.23</v>
      </c>
      <c r="I38" s="3">
        <v>3.45</v>
      </c>
      <c r="J38" s="3">
        <v>3.69</v>
      </c>
      <c r="K38" s="3">
        <v>3.94</v>
      </c>
      <c r="L38" t="s">
        <v>17</v>
      </c>
      <c r="M38">
        <v>4</v>
      </c>
    </row>
    <row r="39" spans="1:13" x14ac:dyDescent="0.35">
      <c r="A39" t="s">
        <v>17</v>
      </c>
      <c r="B39" s="2">
        <v>1</v>
      </c>
      <c r="C39" s="2">
        <v>2</v>
      </c>
      <c r="D39" s="4">
        <v>2.85</v>
      </c>
      <c r="E39" s="4">
        <v>3.05</v>
      </c>
      <c r="F39" s="4">
        <v>3.25</v>
      </c>
      <c r="G39" s="4">
        <v>3.47</v>
      </c>
      <c r="H39" s="4">
        <v>3.71</v>
      </c>
      <c r="I39" s="4">
        <v>3.96</v>
      </c>
      <c r="J39" s="4">
        <v>4.2300000000000004</v>
      </c>
      <c r="K39" s="4">
        <v>4.5199999999999996</v>
      </c>
      <c r="L39" t="s">
        <v>17</v>
      </c>
      <c r="M39">
        <v>4</v>
      </c>
    </row>
    <row r="40" spans="1:13" x14ac:dyDescent="0.35">
      <c r="A40" t="s">
        <v>17</v>
      </c>
      <c r="B40" s="2">
        <v>2</v>
      </c>
      <c r="C40" s="2">
        <v>3</v>
      </c>
      <c r="D40" s="3">
        <v>3.18</v>
      </c>
      <c r="E40" s="3">
        <v>3.4</v>
      </c>
      <c r="F40" s="3">
        <v>3.63</v>
      </c>
      <c r="G40" s="3">
        <v>3.88</v>
      </c>
      <c r="H40" s="3">
        <v>4.1399999999999997</v>
      </c>
      <c r="I40" s="3">
        <v>4.42</v>
      </c>
      <c r="J40" s="3">
        <v>4.72</v>
      </c>
      <c r="K40" s="3">
        <v>5.04</v>
      </c>
      <c r="L40" t="s">
        <v>17</v>
      </c>
      <c r="M40">
        <v>4</v>
      </c>
    </row>
    <row r="41" spans="1:13" x14ac:dyDescent="0.35">
      <c r="A41" t="s">
        <v>17</v>
      </c>
      <c r="B41" s="2">
        <v>3</v>
      </c>
      <c r="C41" s="2">
        <v>4</v>
      </c>
      <c r="D41" s="4">
        <v>3.48</v>
      </c>
      <c r="E41" s="4">
        <v>3.71</v>
      </c>
      <c r="F41" s="4">
        <v>3.97</v>
      </c>
      <c r="G41" s="4">
        <v>4.2300000000000004</v>
      </c>
      <c r="H41" s="4">
        <v>4.5199999999999996</v>
      </c>
      <c r="I41" s="4">
        <v>4.83</v>
      </c>
      <c r="J41" s="4">
        <v>5.15</v>
      </c>
      <c r="K41" s="4">
        <v>5.5</v>
      </c>
      <c r="L41" t="s">
        <v>17</v>
      </c>
      <c r="M41">
        <v>4</v>
      </c>
    </row>
    <row r="42" spans="1:13" x14ac:dyDescent="0.35">
      <c r="A42" t="s">
        <v>17</v>
      </c>
      <c r="B42" s="2">
        <v>4</v>
      </c>
      <c r="C42" s="2">
        <v>5</v>
      </c>
      <c r="D42" s="3">
        <v>3.74</v>
      </c>
      <c r="E42" s="3">
        <v>3.99</v>
      </c>
      <c r="F42" s="3">
        <v>4.26</v>
      </c>
      <c r="G42" s="3">
        <v>4.55</v>
      </c>
      <c r="H42" s="3">
        <v>4.8600000000000003</v>
      </c>
      <c r="I42" s="3">
        <v>5.18</v>
      </c>
      <c r="J42" s="3">
        <v>5.54</v>
      </c>
      <c r="K42" s="3">
        <v>5.91</v>
      </c>
      <c r="L42" t="s">
        <v>17</v>
      </c>
      <c r="M42">
        <v>4</v>
      </c>
    </row>
    <row r="43" spans="1:13" x14ac:dyDescent="0.35">
      <c r="A43" t="s">
        <v>17</v>
      </c>
      <c r="B43" s="2">
        <v>5</v>
      </c>
      <c r="C43" s="2">
        <v>6</v>
      </c>
      <c r="D43" s="4">
        <v>3.96</v>
      </c>
      <c r="E43" s="4">
        <v>4.2300000000000004</v>
      </c>
      <c r="F43" s="4">
        <v>4.51</v>
      </c>
      <c r="G43" s="4">
        <v>4.82</v>
      </c>
      <c r="H43" s="4">
        <v>5.14</v>
      </c>
      <c r="I43" s="4">
        <v>5.49</v>
      </c>
      <c r="J43" s="4">
        <v>5.86</v>
      </c>
      <c r="K43" s="4">
        <v>6.26</v>
      </c>
      <c r="L43" t="s">
        <v>17</v>
      </c>
      <c r="M43">
        <v>4</v>
      </c>
    </row>
    <row r="44" spans="1:13" x14ac:dyDescent="0.35">
      <c r="A44" t="s">
        <v>17</v>
      </c>
      <c r="B44" s="2">
        <v>6</v>
      </c>
      <c r="C44" s="2">
        <v>7</v>
      </c>
      <c r="D44" s="3">
        <v>4.1399999999999997</v>
      </c>
      <c r="E44" s="3">
        <v>4.42</v>
      </c>
      <c r="F44" s="3">
        <v>4.72</v>
      </c>
      <c r="G44" s="3">
        <v>5.04</v>
      </c>
      <c r="H44" s="3">
        <v>5.38</v>
      </c>
      <c r="I44" s="3">
        <v>5.75</v>
      </c>
      <c r="J44" s="3">
        <v>6.14</v>
      </c>
      <c r="K44" s="3">
        <v>6.55</v>
      </c>
      <c r="L44" t="s">
        <v>17</v>
      </c>
      <c r="M44">
        <v>4</v>
      </c>
    </row>
    <row r="45" spans="1:13" x14ac:dyDescent="0.35">
      <c r="A45" t="s">
        <v>17</v>
      </c>
      <c r="B45" s="2">
        <v>7</v>
      </c>
      <c r="C45" s="2">
        <v>8</v>
      </c>
      <c r="D45" s="4">
        <v>4.29</v>
      </c>
      <c r="E45" s="4">
        <v>4.58</v>
      </c>
      <c r="F45" s="4">
        <v>4.8899999999999997</v>
      </c>
      <c r="G45" s="4">
        <v>5.22</v>
      </c>
      <c r="H45" s="4">
        <v>5.58</v>
      </c>
      <c r="I45" s="4">
        <v>5.95</v>
      </c>
      <c r="J45" s="4">
        <v>6.36</v>
      </c>
      <c r="K45" s="4">
        <v>6.79</v>
      </c>
      <c r="L45" t="s">
        <v>17</v>
      </c>
      <c r="M45">
        <v>4</v>
      </c>
    </row>
    <row r="46" spans="1:13" x14ac:dyDescent="0.35">
      <c r="A46" t="s">
        <v>17</v>
      </c>
      <c r="B46" s="2">
        <v>8</v>
      </c>
      <c r="C46" s="2">
        <v>8.1</v>
      </c>
      <c r="D46" s="3">
        <f>10*0.43</f>
        <v>4.3</v>
      </c>
      <c r="E46" s="3">
        <f>10*0.46</f>
        <v>4.6000000000000005</v>
      </c>
      <c r="F46" s="3">
        <f>10*0.49</f>
        <v>4.9000000000000004</v>
      </c>
      <c r="G46" s="3">
        <f>10*0.52</f>
        <v>5.2</v>
      </c>
      <c r="H46" s="3">
        <f>10*0.56</f>
        <v>5.6000000000000005</v>
      </c>
      <c r="I46" s="3">
        <f>10*0.6</f>
        <v>6</v>
      </c>
      <c r="J46" s="3">
        <f>10*0.64</f>
        <v>6.4</v>
      </c>
      <c r="K46" s="3">
        <f>10*0.68</f>
        <v>6.8000000000000007</v>
      </c>
      <c r="L46" t="s">
        <v>17</v>
      </c>
      <c r="M46">
        <v>4</v>
      </c>
    </row>
    <row r="47" spans="1:13" x14ac:dyDescent="0.35">
      <c r="A47" t="s">
        <v>18</v>
      </c>
      <c r="B47" s="2">
        <v>0</v>
      </c>
      <c r="C47" s="2">
        <v>1</v>
      </c>
      <c r="D47" s="3">
        <v>2.5299999999999998</v>
      </c>
      <c r="E47" s="3">
        <v>2.7</v>
      </c>
      <c r="F47" s="3">
        <v>2.88</v>
      </c>
      <c r="G47" s="3">
        <v>3.07</v>
      </c>
      <c r="H47" s="3">
        <v>3.28</v>
      </c>
      <c r="I47" s="3">
        <v>3.51</v>
      </c>
      <c r="J47" s="3">
        <v>3.74</v>
      </c>
      <c r="K47" s="3">
        <v>4</v>
      </c>
      <c r="L47" t="s">
        <v>18</v>
      </c>
      <c r="M47">
        <v>10</v>
      </c>
    </row>
    <row r="48" spans="1:13" x14ac:dyDescent="0.35">
      <c r="A48" t="s">
        <v>18</v>
      </c>
      <c r="B48" s="2">
        <v>1</v>
      </c>
      <c r="C48" s="2">
        <v>2</v>
      </c>
      <c r="D48" s="4">
        <v>2.9</v>
      </c>
      <c r="E48" s="4">
        <v>3.09</v>
      </c>
      <c r="F48" s="4">
        <v>3.3</v>
      </c>
      <c r="G48" s="4">
        <v>3.53</v>
      </c>
      <c r="H48" s="4">
        <v>3.77</v>
      </c>
      <c r="I48" s="4">
        <v>4.0199999999999996</v>
      </c>
      <c r="J48" s="4">
        <v>4.29</v>
      </c>
      <c r="K48" s="4">
        <v>4.58</v>
      </c>
      <c r="L48" t="s">
        <v>18</v>
      </c>
      <c r="M48">
        <v>10</v>
      </c>
    </row>
    <row r="49" spans="1:13" x14ac:dyDescent="0.35">
      <c r="A49" t="s">
        <v>18</v>
      </c>
      <c r="B49" s="2">
        <v>2</v>
      </c>
      <c r="C49" s="2">
        <v>3</v>
      </c>
      <c r="D49" s="3">
        <v>3.23</v>
      </c>
      <c r="E49" s="3">
        <v>3.45</v>
      </c>
      <c r="F49" s="3">
        <v>3.69</v>
      </c>
      <c r="G49" s="3">
        <v>3.94</v>
      </c>
      <c r="H49" s="3">
        <v>4.2</v>
      </c>
      <c r="I49" s="3">
        <v>4.49</v>
      </c>
      <c r="J49" s="3">
        <v>4.79</v>
      </c>
      <c r="K49" s="3">
        <v>5.12</v>
      </c>
      <c r="L49" t="s">
        <v>18</v>
      </c>
      <c r="M49">
        <v>10</v>
      </c>
    </row>
    <row r="50" spans="1:13" x14ac:dyDescent="0.35">
      <c r="A50" t="s">
        <v>18</v>
      </c>
      <c r="B50" s="2">
        <v>3</v>
      </c>
      <c r="C50" s="2">
        <v>4</v>
      </c>
      <c r="D50" s="4">
        <v>3.53</v>
      </c>
      <c r="E50" s="4">
        <v>3.77</v>
      </c>
      <c r="F50" s="4">
        <v>4.03</v>
      </c>
      <c r="G50" s="4">
        <v>4.3</v>
      </c>
      <c r="H50" s="4">
        <v>4.59</v>
      </c>
      <c r="I50" s="4">
        <v>4.9000000000000004</v>
      </c>
      <c r="J50" s="4">
        <v>5.23</v>
      </c>
      <c r="K50" s="4">
        <v>5.59</v>
      </c>
      <c r="L50" t="s">
        <v>18</v>
      </c>
      <c r="M50">
        <v>10</v>
      </c>
    </row>
    <row r="51" spans="1:13" x14ac:dyDescent="0.35">
      <c r="A51" t="s">
        <v>18</v>
      </c>
      <c r="B51" s="2">
        <v>4</v>
      </c>
      <c r="C51" s="2">
        <v>5</v>
      </c>
      <c r="D51" s="3">
        <v>3.79</v>
      </c>
      <c r="E51" s="3">
        <v>4.05</v>
      </c>
      <c r="F51" s="3">
        <v>4.32</v>
      </c>
      <c r="G51" s="3">
        <v>4.62</v>
      </c>
      <c r="H51" s="3">
        <v>4.93</v>
      </c>
      <c r="I51" s="3">
        <v>5.26</v>
      </c>
      <c r="J51" s="3">
        <v>5.62</v>
      </c>
      <c r="K51" s="3">
        <v>6</v>
      </c>
      <c r="L51" t="s">
        <v>18</v>
      </c>
      <c r="M51">
        <v>10</v>
      </c>
    </row>
    <row r="52" spans="1:13" x14ac:dyDescent="0.35">
      <c r="A52" t="s">
        <v>18</v>
      </c>
      <c r="B52" s="2">
        <v>5</v>
      </c>
      <c r="C52" s="2">
        <v>6</v>
      </c>
      <c r="D52" s="4">
        <v>4.0199999999999996</v>
      </c>
      <c r="E52" s="4">
        <v>4.29</v>
      </c>
      <c r="F52" s="4">
        <v>4.58</v>
      </c>
      <c r="G52" s="4">
        <v>4.8899999999999997</v>
      </c>
      <c r="H52" s="4">
        <v>5.22</v>
      </c>
      <c r="I52" s="4">
        <v>5.58</v>
      </c>
      <c r="J52" s="4">
        <v>5.95</v>
      </c>
      <c r="K52" s="4">
        <v>6.36</v>
      </c>
      <c r="L52" t="s">
        <v>18</v>
      </c>
      <c r="M52">
        <v>10</v>
      </c>
    </row>
    <row r="53" spans="1:13" x14ac:dyDescent="0.35">
      <c r="A53" t="s">
        <v>18</v>
      </c>
      <c r="B53" s="2">
        <v>6</v>
      </c>
      <c r="C53" s="2">
        <v>7</v>
      </c>
      <c r="D53" s="3">
        <v>4.21</v>
      </c>
      <c r="E53" s="3">
        <v>4.49</v>
      </c>
      <c r="F53" s="3">
        <v>4.8</v>
      </c>
      <c r="G53" s="3">
        <v>5.12</v>
      </c>
      <c r="H53" s="3">
        <v>5.47</v>
      </c>
      <c r="I53" s="3">
        <v>5.84</v>
      </c>
      <c r="J53" s="3">
        <v>6.23</v>
      </c>
      <c r="K53" s="3">
        <v>6.65</v>
      </c>
      <c r="L53" t="s">
        <v>18</v>
      </c>
      <c r="M53">
        <v>10</v>
      </c>
    </row>
    <row r="54" spans="1:13" x14ac:dyDescent="0.35">
      <c r="A54" t="s">
        <v>18</v>
      </c>
      <c r="B54" s="2">
        <v>7</v>
      </c>
      <c r="C54" s="2">
        <v>8</v>
      </c>
      <c r="D54" s="4">
        <v>3.91</v>
      </c>
      <c r="E54" s="4">
        <v>4.17</v>
      </c>
      <c r="F54" s="4">
        <v>4.46</v>
      </c>
      <c r="G54" s="4">
        <v>4.76</v>
      </c>
      <c r="H54" s="4">
        <v>5.08</v>
      </c>
      <c r="I54" s="4">
        <v>5.42</v>
      </c>
      <c r="J54" s="4">
        <v>5.79</v>
      </c>
      <c r="K54" s="4">
        <v>6.18</v>
      </c>
      <c r="L54" t="s">
        <v>18</v>
      </c>
      <c r="M54">
        <v>10</v>
      </c>
    </row>
    <row r="55" spans="1:13" x14ac:dyDescent="0.35">
      <c r="A55" t="s">
        <v>21</v>
      </c>
      <c r="B55" s="2">
        <v>0</v>
      </c>
      <c r="C55" s="2">
        <v>1</v>
      </c>
      <c r="D55" s="3">
        <v>3.62</v>
      </c>
      <c r="E55" s="3">
        <v>3.87</v>
      </c>
      <c r="F55" s="3">
        <v>4.13</v>
      </c>
      <c r="G55" s="3">
        <v>4.41</v>
      </c>
      <c r="H55" s="3">
        <v>4.71</v>
      </c>
      <c r="I55" s="3">
        <v>5.03</v>
      </c>
      <c r="J55" s="3">
        <v>5.37</v>
      </c>
      <c r="K55" s="3">
        <v>5.73</v>
      </c>
      <c r="L55" t="s">
        <v>16</v>
      </c>
      <c r="M55">
        <v>6</v>
      </c>
    </row>
    <row r="56" spans="1:13" x14ac:dyDescent="0.35">
      <c r="A56" t="s">
        <v>21</v>
      </c>
      <c r="B56" s="2">
        <v>1</v>
      </c>
      <c r="C56" s="2">
        <v>2</v>
      </c>
      <c r="D56" s="4">
        <v>4.16</v>
      </c>
      <c r="E56" s="4">
        <v>4.4400000000000004</v>
      </c>
      <c r="F56" s="4">
        <v>4.74</v>
      </c>
      <c r="G56" s="4">
        <v>5.0599999999999996</v>
      </c>
      <c r="H56" s="4">
        <v>5.4</v>
      </c>
      <c r="I56" s="4">
        <v>5.77</v>
      </c>
      <c r="J56" s="4">
        <v>6.16</v>
      </c>
      <c r="K56" s="4">
        <v>6.57</v>
      </c>
      <c r="L56" t="s">
        <v>16</v>
      </c>
      <c r="M56">
        <v>6</v>
      </c>
    </row>
    <row r="57" spans="1:13" x14ac:dyDescent="0.35">
      <c r="A57" t="s">
        <v>21</v>
      </c>
      <c r="B57" s="2">
        <v>2</v>
      </c>
      <c r="C57" s="2">
        <v>3</v>
      </c>
      <c r="D57" s="3">
        <v>4.6399999999999997</v>
      </c>
      <c r="E57" s="3">
        <v>4.95</v>
      </c>
      <c r="F57" s="3">
        <v>5.29</v>
      </c>
      <c r="G57" s="3">
        <v>5.64</v>
      </c>
      <c r="H57" s="3">
        <v>6.03</v>
      </c>
      <c r="I57" s="3">
        <v>6.43</v>
      </c>
      <c r="J57" s="3">
        <v>6.87</v>
      </c>
      <c r="K57" s="3">
        <v>7.33</v>
      </c>
      <c r="L57" t="s">
        <v>16</v>
      </c>
      <c r="M57">
        <v>6</v>
      </c>
    </row>
    <row r="58" spans="1:13" x14ac:dyDescent="0.35">
      <c r="A58" t="s">
        <v>21</v>
      </c>
      <c r="B58" s="2">
        <v>3</v>
      </c>
      <c r="C58" s="2">
        <v>4</v>
      </c>
      <c r="D58" s="4">
        <v>5.0599999999999996</v>
      </c>
      <c r="E58" s="4">
        <v>5.41</v>
      </c>
      <c r="F58" s="4">
        <v>5.77</v>
      </c>
      <c r="G58" s="4">
        <v>6.16</v>
      </c>
      <c r="H58" s="4">
        <v>6.58</v>
      </c>
      <c r="I58" s="4">
        <v>7.03</v>
      </c>
      <c r="J58" s="4">
        <v>7.5</v>
      </c>
      <c r="K58" s="4">
        <v>8.01</v>
      </c>
      <c r="L58" t="s">
        <v>16</v>
      </c>
      <c r="M58">
        <v>6</v>
      </c>
    </row>
    <row r="59" spans="1:13" x14ac:dyDescent="0.35">
      <c r="A59" t="s">
        <v>21</v>
      </c>
      <c r="B59" s="2">
        <v>4</v>
      </c>
      <c r="C59" s="2">
        <v>5</v>
      </c>
      <c r="D59" s="3">
        <v>5.44</v>
      </c>
      <c r="E59" s="3">
        <v>5.81</v>
      </c>
      <c r="F59" s="3">
        <v>6.2</v>
      </c>
      <c r="G59" s="3">
        <v>6.62</v>
      </c>
      <c r="H59" s="3">
        <v>7.07</v>
      </c>
      <c r="I59" s="3">
        <v>7.55</v>
      </c>
      <c r="J59" s="3">
        <v>8.06</v>
      </c>
      <c r="K59" s="3">
        <v>8.61</v>
      </c>
      <c r="L59" t="s">
        <v>16</v>
      </c>
      <c r="M59">
        <v>6</v>
      </c>
    </row>
    <row r="60" spans="1:13" x14ac:dyDescent="0.35">
      <c r="A60" t="s">
        <v>21</v>
      </c>
      <c r="B60" s="2">
        <v>5</v>
      </c>
      <c r="C60" s="2">
        <v>6</v>
      </c>
      <c r="D60" s="4">
        <v>5.76</v>
      </c>
      <c r="E60" s="4">
        <v>6.15</v>
      </c>
      <c r="F60" s="4">
        <v>6.57</v>
      </c>
      <c r="G60" s="4">
        <v>7.01</v>
      </c>
      <c r="H60" s="4">
        <v>7.49</v>
      </c>
      <c r="I60" s="4">
        <v>8</v>
      </c>
      <c r="J60" s="4">
        <v>8.5399999999999991</v>
      </c>
      <c r="K60" s="4">
        <v>9.11</v>
      </c>
      <c r="L60" t="s">
        <v>16</v>
      </c>
      <c r="M60">
        <v>6</v>
      </c>
    </row>
    <row r="61" spans="1:13" x14ac:dyDescent="0.35">
      <c r="A61" t="s">
        <v>21</v>
      </c>
      <c r="B61" s="2">
        <v>6</v>
      </c>
      <c r="C61" s="2">
        <v>7</v>
      </c>
      <c r="D61" s="3">
        <v>6.03</v>
      </c>
      <c r="E61" s="3">
        <v>6.44</v>
      </c>
      <c r="F61" s="3">
        <v>6.88</v>
      </c>
      <c r="G61" s="3">
        <v>7.34</v>
      </c>
      <c r="H61" s="3">
        <v>7.84</v>
      </c>
      <c r="I61" s="3">
        <v>8.3699999999999992</v>
      </c>
      <c r="J61" s="3">
        <v>8.94</v>
      </c>
      <c r="K61" s="3">
        <v>9.5399999999999991</v>
      </c>
      <c r="L61" t="s">
        <v>16</v>
      </c>
      <c r="M61">
        <v>6</v>
      </c>
    </row>
    <row r="62" spans="1:13" x14ac:dyDescent="0.35">
      <c r="A62" t="s">
        <v>21</v>
      </c>
      <c r="B62" s="2">
        <v>7</v>
      </c>
      <c r="C62" s="2">
        <v>8</v>
      </c>
      <c r="D62" s="4">
        <v>6.25</v>
      </c>
      <c r="E62" s="4">
        <v>6.67</v>
      </c>
      <c r="F62" s="4">
        <v>7.12</v>
      </c>
      <c r="G62" s="4">
        <v>7.6</v>
      </c>
      <c r="H62" s="4">
        <v>8.1199999999999992</v>
      </c>
      <c r="I62" s="4">
        <v>8.67</v>
      </c>
      <c r="J62" s="4">
        <v>9.26</v>
      </c>
      <c r="K62" s="4">
        <v>9.8800000000000008</v>
      </c>
      <c r="L62" t="s">
        <v>16</v>
      </c>
      <c r="M62">
        <v>6</v>
      </c>
    </row>
    <row r="63" spans="1:13" x14ac:dyDescent="0.35">
      <c r="A63" t="s">
        <v>21</v>
      </c>
      <c r="B63" s="2">
        <v>8</v>
      </c>
      <c r="C63" s="2">
        <v>8.1</v>
      </c>
      <c r="D63" s="3">
        <f>10*0.63</f>
        <v>6.3</v>
      </c>
      <c r="E63" s="3">
        <f>10*0.67</f>
        <v>6.7</v>
      </c>
      <c r="F63" s="3">
        <f>10*0.71</f>
        <v>7.1</v>
      </c>
      <c r="G63" s="3">
        <f>10*0.76</f>
        <v>7.6</v>
      </c>
      <c r="H63" s="3">
        <f>10*0.81</f>
        <v>8.1000000000000014</v>
      </c>
      <c r="I63" s="3">
        <f>10*0.87</f>
        <v>8.6999999999999993</v>
      </c>
      <c r="J63" s="3">
        <f>10*0.93</f>
        <v>9.3000000000000007</v>
      </c>
      <c r="K63" s="3">
        <f>10*0.99</f>
        <v>9.9</v>
      </c>
      <c r="L63" t="s">
        <v>16</v>
      </c>
      <c r="M63">
        <v>6</v>
      </c>
    </row>
    <row r="64" spans="1:13" x14ac:dyDescent="0.35">
      <c r="A64" t="s">
        <v>19</v>
      </c>
      <c r="B64" s="2">
        <v>0</v>
      </c>
      <c r="C64" s="2">
        <v>1</v>
      </c>
      <c r="D64" s="7">
        <v>7.82</v>
      </c>
      <c r="E64" s="7">
        <v>8.35</v>
      </c>
      <c r="F64" s="7">
        <v>8.91</v>
      </c>
      <c r="G64" s="7">
        <v>9.52</v>
      </c>
      <c r="H64" s="7">
        <v>10.16</v>
      </c>
      <c r="I64" s="7">
        <v>10.85</v>
      </c>
      <c r="J64" s="7">
        <v>11.58</v>
      </c>
      <c r="K64" s="7">
        <v>12.37</v>
      </c>
      <c r="L64" t="s">
        <v>9</v>
      </c>
      <c r="M64">
        <v>0</v>
      </c>
    </row>
    <row r="65" spans="1:13" x14ac:dyDescent="0.35">
      <c r="A65" t="s">
        <v>19</v>
      </c>
      <c r="B65" s="2">
        <v>1</v>
      </c>
      <c r="C65" s="2">
        <v>2</v>
      </c>
      <c r="D65" s="8">
        <v>8.9700000000000006</v>
      </c>
      <c r="E65" s="8">
        <v>9.58</v>
      </c>
      <c r="F65" s="8">
        <v>10.23</v>
      </c>
      <c r="G65" s="8">
        <v>10.92</v>
      </c>
      <c r="H65" s="8">
        <v>11.66</v>
      </c>
      <c r="I65" s="8">
        <v>12.45</v>
      </c>
      <c r="J65" s="8">
        <v>13.29</v>
      </c>
      <c r="K65" s="8">
        <v>14.19</v>
      </c>
      <c r="L65" t="s">
        <v>9</v>
      </c>
      <c r="M65">
        <v>0</v>
      </c>
    </row>
    <row r="66" spans="1:13" x14ac:dyDescent="0.35">
      <c r="A66" t="s">
        <v>19</v>
      </c>
      <c r="B66" s="2">
        <v>2</v>
      </c>
      <c r="C66" s="2">
        <v>3</v>
      </c>
      <c r="D66" s="7">
        <v>10.01</v>
      </c>
      <c r="E66" s="7">
        <v>10.69</v>
      </c>
      <c r="F66" s="7">
        <v>11.41</v>
      </c>
      <c r="G66" s="7">
        <v>12.18</v>
      </c>
      <c r="H66" s="7">
        <v>13.01</v>
      </c>
      <c r="I66" s="7">
        <v>13.89</v>
      </c>
      <c r="J66" s="7">
        <v>14.83</v>
      </c>
      <c r="K66" s="7">
        <v>15.83</v>
      </c>
      <c r="L66" t="s">
        <v>9</v>
      </c>
      <c r="M66">
        <v>0</v>
      </c>
    </row>
    <row r="67" spans="1:13" x14ac:dyDescent="0.35">
      <c r="A67" t="s">
        <v>19</v>
      </c>
      <c r="B67" s="2">
        <v>3</v>
      </c>
      <c r="C67" s="2">
        <v>4</v>
      </c>
      <c r="D67" s="8">
        <v>10.93</v>
      </c>
      <c r="E67" s="8">
        <v>11.67</v>
      </c>
      <c r="F67" s="8">
        <v>12.46</v>
      </c>
      <c r="G67" s="8">
        <v>13.31</v>
      </c>
      <c r="H67" s="8">
        <v>14.21</v>
      </c>
      <c r="I67" s="8">
        <v>15.17</v>
      </c>
      <c r="J67" s="8">
        <v>16.2</v>
      </c>
      <c r="K67" s="8">
        <v>17.29</v>
      </c>
      <c r="L67" t="s">
        <v>9</v>
      </c>
      <c r="M67">
        <v>0</v>
      </c>
    </row>
    <row r="68" spans="1:13" x14ac:dyDescent="0.35">
      <c r="A68" t="s">
        <v>19</v>
      </c>
      <c r="B68" s="2">
        <v>4</v>
      </c>
      <c r="C68" s="2">
        <v>5</v>
      </c>
      <c r="D68" s="7">
        <v>11.74</v>
      </c>
      <c r="E68" s="7">
        <v>12.54</v>
      </c>
      <c r="F68" s="7">
        <v>13.39</v>
      </c>
      <c r="G68" s="7">
        <v>14.29</v>
      </c>
      <c r="H68" s="7">
        <v>15.26</v>
      </c>
      <c r="I68" s="7">
        <v>16.29</v>
      </c>
      <c r="J68" s="7">
        <v>17.399999999999999</v>
      </c>
      <c r="K68" s="7">
        <v>18.579999999999998</v>
      </c>
      <c r="L68" t="s">
        <v>9</v>
      </c>
      <c r="M68">
        <v>0</v>
      </c>
    </row>
    <row r="69" spans="1:13" x14ac:dyDescent="0.35">
      <c r="A69" t="s">
        <v>19</v>
      </c>
      <c r="B69" s="2">
        <v>5</v>
      </c>
      <c r="C69" s="2">
        <v>6</v>
      </c>
      <c r="D69" s="8">
        <v>12.44</v>
      </c>
      <c r="E69" s="8">
        <v>13.28</v>
      </c>
      <c r="F69" s="8">
        <v>14.18</v>
      </c>
      <c r="G69" s="8">
        <v>15.14</v>
      </c>
      <c r="H69" s="8">
        <v>16.16</v>
      </c>
      <c r="I69" s="8">
        <v>17.260000000000002</v>
      </c>
      <c r="J69" s="8">
        <v>18.43</v>
      </c>
      <c r="K69" s="8">
        <v>19.68</v>
      </c>
      <c r="L69" t="s">
        <v>9</v>
      </c>
      <c r="M69">
        <v>0</v>
      </c>
    </row>
    <row r="70" spans="1:13" x14ac:dyDescent="0.35">
      <c r="A70" t="s">
        <v>19</v>
      </c>
      <c r="B70" s="2">
        <v>6</v>
      </c>
      <c r="C70" s="2">
        <v>7</v>
      </c>
      <c r="D70" s="7">
        <v>13.02</v>
      </c>
      <c r="E70" s="7">
        <v>13.9</v>
      </c>
      <c r="F70" s="7">
        <v>14.84</v>
      </c>
      <c r="G70" s="7">
        <v>15.85</v>
      </c>
      <c r="H70" s="7">
        <v>16.920000000000002</v>
      </c>
      <c r="I70" s="7">
        <v>18.07</v>
      </c>
      <c r="J70" s="7">
        <v>19.29</v>
      </c>
      <c r="K70" s="7">
        <v>20.59</v>
      </c>
      <c r="L70" t="s">
        <v>9</v>
      </c>
      <c r="M70">
        <v>0</v>
      </c>
    </row>
    <row r="71" spans="1:13" x14ac:dyDescent="0.35">
      <c r="A71" t="s">
        <v>19</v>
      </c>
      <c r="B71" s="2">
        <v>7</v>
      </c>
      <c r="C71" s="2">
        <v>8</v>
      </c>
      <c r="D71" s="8">
        <v>13.49</v>
      </c>
      <c r="E71" s="8">
        <v>14.4</v>
      </c>
      <c r="F71" s="8">
        <v>15.37</v>
      </c>
      <c r="G71" s="8">
        <v>16.41</v>
      </c>
      <c r="H71" s="8">
        <v>17.53</v>
      </c>
      <c r="I71" s="8">
        <v>18.71</v>
      </c>
      <c r="J71" s="8">
        <v>19.98</v>
      </c>
      <c r="K71" s="8">
        <v>21.33</v>
      </c>
      <c r="L71" t="s">
        <v>9</v>
      </c>
      <c r="M71">
        <v>0</v>
      </c>
    </row>
    <row r="72" spans="1:13" x14ac:dyDescent="0.35">
      <c r="A72" t="s">
        <v>19</v>
      </c>
      <c r="B72" s="2">
        <v>8</v>
      </c>
      <c r="C72" s="2">
        <v>8.1</v>
      </c>
      <c r="D72" s="7">
        <f>10*1.35</f>
        <v>13.5</v>
      </c>
      <c r="E72" s="7">
        <f>10*1.44</f>
        <v>14.399999999999999</v>
      </c>
      <c r="F72" s="7">
        <f>10*1.54</f>
        <v>15.4</v>
      </c>
      <c r="G72" s="7">
        <f>10*1.65</f>
        <v>16.5</v>
      </c>
      <c r="H72" s="7">
        <f>10*1.76</f>
        <v>17.600000000000001</v>
      </c>
      <c r="I72" s="7">
        <f>10*1.88</f>
        <v>18.799999999999997</v>
      </c>
      <c r="J72" s="7">
        <f>10*2</f>
        <v>20</v>
      </c>
      <c r="K72" s="7">
        <f>10*2.14</f>
        <v>21.400000000000002</v>
      </c>
      <c r="L72" t="s">
        <v>9</v>
      </c>
      <c r="M72">
        <v>0</v>
      </c>
    </row>
    <row r="73" spans="1:13" x14ac:dyDescent="0.35">
      <c r="A73" t="s">
        <v>20</v>
      </c>
      <c r="B73" s="2">
        <v>0</v>
      </c>
      <c r="C73" s="2">
        <v>1</v>
      </c>
      <c r="D73" s="7">
        <v>4.1500000000000004</v>
      </c>
      <c r="E73" s="7">
        <v>4.43</v>
      </c>
      <c r="F73" s="7">
        <v>4.7300000000000004</v>
      </c>
      <c r="G73" s="7">
        <v>5.05</v>
      </c>
      <c r="H73" s="7">
        <v>5.39</v>
      </c>
      <c r="I73" s="7">
        <v>5.75</v>
      </c>
      <c r="J73" s="7">
        <v>6.14</v>
      </c>
      <c r="K73" s="7">
        <v>6.56</v>
      </c>
      <c r="L73" t="s">
        <v>17</v>
      </c>
      <c r="M73">
        <v>4</v>
      </c>
    </row>
    <row r="74" spans="1:13" x14ac:dyDescent="0.35">
      <c r="A74" t="s">
        <v>20</v>
      </c>
      <c r="B74" s="2">
        <v>1</v>
      </c>
      <c r="C74" s="2">
        <v>2</v>
      </c>
      <c r="D74" s="8">
        <v>4.76</v>
      </c>
      <c r="E74" s="8">
        <v>5.08</v>
      </c>
      <c r="F74" s="8">
        <v>5.42</v>
      </c>
      <c r="G74" s="8">
        <v>5.79</v>
      </c>
      <c r="H74" s="8">
        <v>6.18</v>
      </c>
      <c r="I74" s="8">
        <v>6.6</v>
      </c>
      <c r="J74" s="8">
        <v>7.05</v>
      </c>
      <c r="K74" s="8">
        <v>7.53</v>
      </c>
      <c r="L74" t="s">
        <v>17</v>
      </c>
      <c r="M74">
        <v>4</v>
      </c>
    </row>
    <row r="75" spans="1:13" x14ac:dyDescent="0.35">
      <c r="A75" t="s">
        <v>20</v>
      </c>
      <c r="B75" s="2">
        <v>2</v>
      </c>
      <c r="C75" s="2">
        <v>3</v>
      </c>
      <c r="D75" s="7">
        <v>5.31</v>
      </c>
      <c r="E75" s="7">
        <v>5.67</v>
      </c>
      <c r="F75" s="7">
        <v>6.05</v>
      </c>
      <c r="G75" s="7">
        <v>6.46</v>
      </c>
      <c r="H75" s="7">
        <v>6.9</v>
      </c>
      <c r="I75" s="7">
        <v>7.37</v>
      </c>
      <c r="J75" s="7">
        <v>7.86</v>
      </c>
      <c r="K75" s="7">
        <v>8.4</v>
      </c>
      <c r="L75" t="s">
        <v>17</v>
      </c>
      <c r="M75">
        <v>4</v>
      </c>
    </row>
    <row r="76" spans="1:13" x14ac:dyDescent="0.35">
      <c r="A76" t="s">
        <v>20</v>
      </c>
      <c r="B76" s="2">
        <v>3</v>
      </c>
      <c r="C76" s="2">
        <v>4</v>
      </c>
      <c r="D76" s="8">
        <v>5.8</v>
      </c>
      <c r="E76" s="8">
        <v>6.19</v>
      </c>
      <c r="F76" s="8">
        <v>6.61</v>
      </c>
      <c r="G76" s="8">
        <v>7.06</v>
      </c>
      <c r="H76" s="8">
        <v>7.54</v>
      </c>
      <c r="I76" s="8">
        <v>8.0500000000000007</v>
      </c>
      <c r="J76" s="8">
        <v>8.59</v>
      </c>
      <c r="K76" s="8">
        <v>9.17</v>
      </c>
      <c r="L76" t="s">
        <v>17</v>
      </c>
      <c r="M76">
        <v>4</v>
      </c>
    </row>
    <row r="77" spans="1:13" x14ac:dyDescent="0.35">
      <c r="A77" t="s">
        <v>20</v>
      </c>
      <c r="B77" s="2">
        <v>4</v>
      </c>
      <c r="C77" s="2">
        <v>5</v>
      </c>
      <c r="D77" s="7">
        <v>6.23</v>
      </c>
      <c r="E77" s="7">
        <v>6.65</v>
      </c>
      <c r="F77" s="7">
        <v>7.1</v>
      </c>
      <c r="G77" s="7">
        <v>7.58</v>
      </c>
      <c r="H77" s="7">
        <v>8.09</v>
      </c>
      <c r="I77" s="7">
        <v>8.64</v>
      </c>
      <c r="J77" s="7">
        <v>9.23</v>
      </c>
      <c r="K77" s="7">
        <v>9.85</v>
      </c>
      <c r="L77" t="s">
        <v>17</v>
      </c>
      <c r="M77">
        <v>4</v>
      </c>
    </row>
    <row r="78" spans="1:13" x14ac:dyDescent="0.35">
      <c r="A78" t="s">
        <v>20</v>
      </c>
      <c r="B78" s="2">
        <v>5</v>
      </c>
      <c r="C78" s="2">
        <v>6</v>
      </c>
      <c r="D78" s="8">
        <v>6.6</v>
      </c>
      <c r="E78" s="8">
        <v>7.04</v>
      </c>
      <c r="F78" s="8">
        <v>7.52</v>
      </c>
      <c r="G78" s="8">
        <v>8.0299999999999994</v>
      </c>
      <c r="H78" s="8">
        <v>8.57</v>
      </c>
      <c r="I78" s="8">
        <v>9.15</v>
      </c>
      <c r="J78" s="8">
        <v>9.77</v>
      </c>
      <c r="K78" s="8">
        <v>10.43</v>
      </c>
      <c r="L78" t="s">
        <v>17</v>
      </c>
      <c r="M78">
        <v>4</v>
      </c>
    </row>
    <row r="79" spans="1:13" x14ac:dyDescent="0.35">
      <c r="A79" t="s">
        <v>20</v>
      </c>
      <c r="B79" s="2">
        <v>6</v>
      </c>
      <c r="C79" s="2">
        <v>7</v>
      </c>
      <c r="D79" s="7">
        <v>6.9</v>
      </c>
      <c r="E79" s="7">
        <v>7.37</v>
      </c>
      <c r="F79" s="7">
        <v>7.87</v>
      </c>
      <c r="G79" s="7">
        <v>8.4</v>
      </c>
      <c r="H79" s="7">
        <v>8.9700000000000006</v>
      </c>
      <c r="I79" s="7">
        <v>9.58</v>
      </c>
      <c r="J79" s="7">
        <v>10.23</v>
      </c>
      <c r="K79" s="7">
        <v>10.92</v>
      </c>
      <c r="L79" t="s">
        <v>17</v>
      </c>
      <c r="M79">
        <v>4</v>
      </c>
    </row>
    <row r="80" spans="1:13" x14ac:dyDescent="0.35">
      <c r="A80" t="s">
        <v>20</v>
      </c>
      <c r="B80" s="2">
        <v>7</v>
      </c>
      <c r="C80" s="2">
        <v>8</v>
      </c>
      <c r="D80" s="8">
        <v>7.15</v>
      </c>
      <c r="E80" s="8">
        <v>7.64</v>
      </c>
      <c r="F80" s="8">
        <v>8.15</v>
      </c>
      <c r="G80" s="8">
        <v>8.6999999999999993</v>
      </c>
      <c r="H80" s="8">
        <v>9.2899999999999991</v>
      </c>
      <c r="I80" s="8">
        <v>9.92</v>
      </c>
      <c r="J80" s="8">
        <v>10.6</v>
      </c>
      <c r="K80" s="8">
        <v>11.31</v>
      </c>
      <c r="L80" t="s">
        <v>17</v>
      </c>
      <c r="M80">
        <v>4</v>
      </c>
    </row>
    <row r="81" spans="1:13" x14ac:dyDescent="0.35">
      <c r="A81" t="s">
        <v>20</v>
      </c>
      <c r="B81" s="2">
        <v>8</v>
      </c>
      <c r="C81" s="2">
        <v>8.1</v>
      </c>
      <c r="D81" s="7">
        <f>10*0.72</f>
        <v>7.1999999999999993</v>
      </c>
      <c r="E81" s="7">
        <f>10*0.77</f>
        <v>7.7</v>
      </c>
      <c r="F81" s="7">
        <f>10*0.82</f>
        <v>8.1999999999999993</v>
      </c>
      <c r="G81" s="7">
        <f>10*0.87</f>
        <v>8.6999999999999993</v>
      </c>
      <c r="H81" s="7">
        <f>10*0.93</f>
        <v>9.3000000000000007</v>
      </c>
      <c r="I81" s="7">
        <f>10*1</f>
        <v>10</v>
      </c>
      <c r="J81" s="7">
        <f>10*1.06</f>
        <v>10.600000000000001</v>
      </c>
      <c r="K81" s="7">
        <f>10*1.13</f>
        <v>11.299999999999999</v>
      </c>
      <c r="L81" t="s">
        <v>17</v>
      </c>
      <c r="M81">
        <v>4</v>
      </c>
    </row>
    <row r="82" spans="1:13" x14ac:dyDescent="0.35">
      <c r="A82" t="s">
        <v>22</v>
      </c>
      <c r="B82" s="2">
        <v>0</v>
      </c>
      <c r="C82" s="2">
        <v>1</v>
      </c>
      <c r="D82" s="3">
        <v>6.43</v>
      </c>
      <c r="E82" s="3">
        <v>6.87</v>
      </c>
      <c r="F82" s="3">
        <v>7.33</v>
      </c>
      <c r="G82" s="3">
        <v>7.83</v>
      </c>
      <c r="H82" s="3">
        <v>8.36</v>
      </c>
      <c r="I82" s="3">
        <v>8.93</v>
      </c>
      <c r="J82" s="3">
        <v>9.5299999999999994</v>
      </c>
      <c r="K82" s="3">
        <v>10.18</v>
      </c>
      <c r="L82" t="s">
        <v>15</v>
      </c>
      <c r="M82">
        <v>8</v>
      </c>
    </row>
    <row r="83" spans="1:13" x14ac:dyDescent="0.35">
      <c r="A83" t="s">
        <v>22</v>
      </c>
      <c r="B83" s="2">
        <v>1</v>
      </c>
      <c r="C83" s="2">
        <v>2</v>
      </c>
      <c r="D83" s="4">
        <v>7.38</v>
      </c>
      <c r="E83" s="4">
        <v>7.88</v>
      </c>
      <c r="F83" s="4">
        <v>8.41</v>
      </c>
      <c r="G83" s="4">
        <v>8.98</v>
      </c>
      <c r="H83" s="4">
        <v>9.59</v>
      </c>
      <c r="I83" s="4">
        <v>10.24</v>
      </c>
      <c r="J83" s="4">
        <v>10.93</v>
      </c>
      <c r="K83" s="4">
        <v>11.67</v>
      </c>
      <c r="L83" t="s">
        <v>15</v>
      </c>
      <c r="M83">
        <v>8</v>
      </c>
    </row>
    <row r="84" spans="1:13" x14ac:dyDescent="0.35">
      <c r="A84" t="s">
        <v>22</v>
      </c>
      <c r="B84" s="2">
        <v>2</v>
      </c>
      <c r="C84" s="2">
        <v>3</v>
      </c>
      <c r="D84" s="3">
        <v>8.23</v>
      </c>
      <c r="E84" s="3">
        <v>8.7899999999999991</v>
      </c>
      <c r="F84" s="3">
        <v>9.39</v>
      </c>
      <c r="G84" s="3">
        <v>10.02</v>
      </c>
      <c r="H84" s="3">
        <v>10.7</v>
      </c>
      <c r="I84" s="3">
        <v>11.43</v>
      </c>
      <c r="J84" s="3">
        <v>12.2</v>
      </c>
      <c r="K84" s="3">
        <v>13.03</v>
      </c>
      <c r="L84" t="s">
        <v>15</v>
      </c>
      <c r="M84">
        <v>8</v>
      </c>
    </row>
    <row r="85" spans="1:13" x14ac:dyDescent="0.35">
      <c r="A85" t="s">
        <v>22</v>
      </c>
      <c r="B85" s="2">
        <v>3</v>
      </c>
      <c r="C85" s="2">
        <v>4</v>
      </c>
      <c r="D85" s="4">
        <v>8.99</v>
      </c>
      <c r="E85" s="4">
        <v>9.6</v>
      </c>
      <c r="F85" s="4">
        <v>10.25</v>
      </c>
      <c r="G85" s="4">
        <v>10.95</v>
      </c>
      <c r="H85" s="4">
        <v>11.69</v>
      </c>
      <c r="I85" s="4">
        <v>12.48</v>
      </c>
      <c r="J85" s="4">
        <v>13.33</v>
      </c>
      <c r="K85" s="4">
        <v>14.23</v>
      </c>
      <c r="L85" t="s">
        <v>15</v>
      </c>
      <c r="M85">
        <v>8</v>
      </c>
    </row>
    <row r="86" spans="1:13" x14ac:dyDescent="0.35">
      <c r="A86" t="s">
        <v>22</v>
      </c>
      <c r="B86" s="2">
        <v>4</v>
      </c>
      <c r="C86" s="2">
        <v>5</v>
      </c>
      <c r="D86" s="3">
        <v>9.66</v>
      </c>
      <c r="E86" s="3">
        <v>10.31</v>
      </c>
      <c r="F86" s="3">
        <v>11.01</v>
      </c>
      <c r="G86" s="3">
        <v>11.76</v>
      </c>
      <c r="H86" s="3">
        <v>12.55</v>
      </c>
      <c r="I86" s="3">
        <v>13.4</v>
      </c>
      <c r="J86" s="3">
        <v>14.31</v>
      </c>
      <c r="K86" s="3">
        <v>15.28</v>
      </c>
      <c r="L86" t="s">
        <v>15</v>
      </c>
      <c r="M86">
        <v>8</v>
      </c>
    </row>
    <row r="87" spans="1:13" x14ac:dyDescent="0.35">
      <c r="A87" t="s">
        <v>22</v>
      </c>
      <c r="B87" s="2">
        <v>5</v>
      </c>
      <c r="C87" s="2">
        <v>6</v>
      </c>
      <c r="D87" s="4">
        <v>10.23</v>
      </c>
      <c r="E87" s="4">
        <v>10.92</v>
      </c>
      <c r="F87" s="4">
        <v>11.66</v>
      </c>
      <c r="G87" s="4">
        <v>12.45</v>
      </c>
      <c r="H87" s="4">
        <v>13.3</v>
      </c>
      <c r="I87" s="4">
        <v>14.2</v>
      </c>
      <c r="J87" s="4">
        <v>15.16</v>
      </c>
      <c r="K87" s="4">
        <v>16.190000000000001</v>
      </c>
      <c r="L87" t="s">
        <v>15</v>
      </c>
      <c r="M87">
        <v>8</v>
      </c>
    </row>
    <row r="88" spans="1:13" x14ac:dyDescent="0.35">
      <c r="A88" t="s">
        <v>22</v>
      </c>
      <c r="B88" s="2">
        <v>6</v>
      </c>
      <c r="C88" s="2">
        <v>7</v>
      </c>
      <c r="D88" s="3">
        <v>10.71</v>
      </c>
      <c r="E88" s="3">
        <v>11.44</v>
      </c>
      <c r="F88" s="3">
        <v>12.21</v>
      </c>
      <c r="G88" s="3">
        <v>13.04</v>
      </c>
      <c r="H88" s="3">
        <v>13.92</v>
      </c>
      <c r="I88" s="3">
        <v>14.86</v>
      </c>
      <c r="J88" s="3">
        <v>15.87</v>
      </c>
      <c r="K88" s="3">
        <v>16.940000000000001</v>
      </c>
      <c r="L88" t="s">
        <v>15</v>
      </c>
      <c r="M88">
        <v>8</v>
      </c>
    </row>
    <row r="89" spans="1:13" x14ac:dyDescent="0.35">
      <c r="A89" t="s">
        <v>22</v>
      </c>
      <c r="B89" s="2">
        <v>7</v>
      </c>
      <c r="C89" s="2">
        <v>8</v>
      </c>
      <c r="D89" s="4">
        <v>11.09</v>
      </c>
      <c r="E89" s="4">
        <v>11.85</v>
      </c>
      <c r="F89" s="4">
        <v>12.65</v>
      </c>
      <c r="G89" s="4">
        <v>13.5</v>
      </c>
      <c r="H89" s="4">
        <v>14.42</v>
      </c>
      <c r="I89" s="4">
        <v>15.39</v>
      </c>
      <c r="J89" s="4">
        <v>16.440000000000001</v>
      </c>
      <c r="K89" s="4">
        <v>17.55</v>
      </c>
      <c r="L89" t="s">
        <v>15</v>
      </c>
      <c r="M89">
        <v>8</v>
      </c>
    </row>
    <row r="90" spans="1:13" x14ac:dyDescent="0.35">
      <c r="A90" t="s">
        <v>22</v>
      </c>
      <c r="B90" s="2">
        <v>8</v>
      </c>
      <c r="C90" s="2">
        <v>8.1</v>
      </c>
      <c r="D90" s="3">
        <f>10*1.11</f>
        <v>11.100000000000001</v>
      </c>
      <c r="E90" s="3">
        <f>10*1.19</f>
        <v>11.899999999999999</v>
      </c>
      <c r="F90" s="3">
        <f>10*1.27</f>
        <v>12.7</v>
      </c>
      <c r="G90" s="3">
        <f>10*1.35</f>
        <v>13.5</v>
      </c>
      <c r="H90" s="3">
        <f>10*1.45</f>
        <v>14.5</v>
      </c>
      <c r="I90" s="3">
        <f>10*1.54</f>
        <v>15.4</v>
      </c>
      <c r="J90" s="3">
        <f>10*1.65</f>
        <v>16.5</v>
      </c>
      <c r="K90" s="3">
        <f>10*1.76</f>
        <v>17.600000000000001</v>
      </c>
      <c r="L90" t="s">
        <v>15</v>
      </c>
      <c r="M90">
        <v>8</v>
      </c>
    </row>
    <row r="91" spans="1:13" x14ac:dyDescent="0.35">
      <c r="A91" t="s">
        <v>48</v>
      </c>
      <c r="B91" s="2">
        <v>0</v>
      </c>
      <c r="C91" s="2">
        <v>1</v>
      </c>
      <c r="D91" s="3">
        <v>1.34</v>
      </c>
      <c r="E91" s="3">
        <v>1.43</v>
      </c>
      <c r="F91" s="3">
        <v>1.53</v>
      </c>
      <c r="G91" s="3">
        <v>1.63</v>
      </c>
      <c r="H91" s="3">
        <v>1.74</v>
      </c>
      <c r="I91" s="3">
        <v>1.86</v>
      </c>
      <c r="J91" s="3">
        <v>1.99</v>
      </c>
      <c r="K91" s="3">
        <v>2.12</v>
      </c>
      <c r="L91" t="s">
        <v>48</v>
      </c>
      <c r="M91">
        <v>12</v>
      </c>
    </row>
    <row r="92" spans="1:13" x14ac:dyDescent="0.35">
      <c r="A92" t="s">
        <v>48</v>
      </c>
      <c r="B92" s="2">
        <v>1</v>
      </c>
      <c r="C92" s="2">
        <v>2</v>
      </c>
      <c r="D92" s="4">
        <v>1.54</v>
      </c>
      <c r="E92" s="4">
        <v>1.64</v>
      </c>
      <c r="F92" s="4">
        <v>1.75</v>
      </c>
      <c r="G92" s="4">
        <v>1.87</v>
      </c>
      <c r="H92" s="4">
        <v>2</v>
      </c>
      <c r="I92" s="4">
        <v>2.14</v>
      </c>
      <c r="J92" s="4">
        <v>2.2799999999999998</v>
      </c>
      <c r="K92" s="4">
        <v>2.4300000000000002</v>
      </c>
      <c r="L92" t="s">
        <v>48</v>
      </c>
      <c r="M92">
        <v>12</v>
      </c>
    </row>
    <row r="93" spans="1:13" x14ac:dyDescent="0.35">
      <c r="A93" t="s">
        <v>48</v>
      </c>
      <c r="B93" s="2">
        <v>2</v>
      </c>
      <c r="C93" s="2">
        <v>3</v>
      </c>
      <c r="D93" s="3">
        <v>1.72</v>
      </c>
      <c r="E93" s="3">
        <v>1.83</v>
      </c>
      <c r="F93" s="3">
        <v>1.96</v>
      </c>
      <c r="G93" s="3">
        <v>2.09</v>
      </c>
      <c r="H93" s="3">
        <v>2.23</v>
      </c>
      <c r="I93" s="3">
        <v>2.38</v>
      </c>
      <c r="J93" s="3">
        <v>2.54</v>
      </c>
      <c r="K93" s="3">
        <v>2.72</v>
      </c>
      <c r="L93" t="s">
        <v>48</v>
      </c>
      <c r="M93">
        <v>12</v>
      </c>
    </row>
    <row r="94" spans="1:13" x14ac:dyDescent="0.35">
      <c r="A94" t="s">
        <v>48</v>
      </c>
      <c r="B94" s="2">
        <v>3</v>
      </c>
      <c r="C94" s="2">
        <v>4</v>
      </c>
      <c r="D94" s="4">
        <v>1.88</v>
      </c>
      <c r="E94" s="4">
        <v>2</v>
      </c>
      <c r="F94" s="4">
        <v>2.14</v>
      </c>
      <c r="G94" s="4">
        <v>2.2799999999999998</v>
      </c>
      <c r="H94" s="4">
        <v>2.44</v>
      </c>
      <c r="I94" s="4">
        <v>2.6</v>
      </c>
      <c r="J94" s="4">
        <v>2.78</v>
      </c>
      <c r="K94" s="4">
        <v>2.97</v>
      </c>
      <c r="L94" t="s">
        <v>48</v>
      </c>
      <c r="M94">
        <v>12</v>
      </c>
    </row>
    <row r="95" spans="1:13" x14ac:dyDescent="0.35">
      <c r="A95" t="s">
        <v>48</v>
      </c>
      <c r="B95" s="2">
        <v>4</v>
      </c>
      <c r="C95" s="2">
        <v>5</v>
      </c>
      <c r="D95" s="3">
        <v>2.0099999999999998</v>
      </c>
      <c r="E95" s="3">
        <v>2.15</v>
      </c>
      <c r="F95" s="3">
        <v>2.2999999999999998</v>
      </c>
      <c r="G95" s="3">
        <v>2.4500000000000002</v>
      </c>
      <c r="H95" s="3">
        <v>2.62</v>
      </c>
      <c r="I95" s="3">
        <v>2.8</v>
      </c>
      <c r="J95" s="3">
        <v>2.98</v>
      </c>
      <c r="K95" s="3">
        <v>3.19</v>
      </c>
      <c r="L95" t="s">
        <v>48</v>
      </c>
      <c r="M95">
        <v>12</v>
      </c>
    </row>
    <row r="96" spans="1:13" x14ac:dyDescent="0.35">
      <c r="A96" t="s">
        <v>48</v>
      </c>
      <c r="B96" s="2">
        <v>5</v>
      </c>
      <c r="C96" s="2">
        <v>6</v>
      </c>
      <c r="D96" s="4">
        <v>2.13</v>
      </c>
      <c r="E96" s="4">
        <v>2.2799999999999998</v>
      </c>
      <c r="F96" s="4">
        <v>2.4300000000000002</v>
      </c>
      <c r="G96" s="4">
        <v>2.6</v>
      </c>
      <c r="H96" s="4">
        <v>2.77</v>
      </c>
      <c r="I96" s="4">
        <v>2.96</v>
      </c>
      <c r="J96" s="4">
        <v>3.16</v>
      </c>
      <c r="K96" s="4">
        <v>3.38</v>
      </c>
      <c r="L96" t="s">
        <v>48</v>
      </c>
      <c r="M96">
        <v>12</v>
      </c>
    </row>
    <row r="97" spans="1:13" x14ac:dyDescent="0.35">
      <c r="A97" t="s">
        <v>48</v>
      </c>
      <c r="B97" s="2">
        <v>6</v>
      </c>
      <c r="C97" s="2">
        <v>7</v>
      </c>
      <c r="D97" s="3">
        <v>2.23</v>
      </c>
      <c r="E97" s="3">
        <v>2.38</v>
      </c>
      <c r="F97" s="3">
        <v>2.5499999999999998</v>
      </c>
      <c r="G97" s="3">
        <v>2.72</v>
      </c>
      <c r="H97" s="3">
        <v>2.9</v>
      </c>
      <c r="I97" s="3">
        <v>3.1</v>
      </c>
      <c r="J97" s="3">
        <v>3.31</v>
      </c>
      <c r="K97" s="3">
        <v>3.53</v>
      </c>
      <c r="L97" t="s">
        <v>48</v>
      </c>
      <c r="M97">
        <v>12</v>
      </c>
    </row>
    <row r="98" spans="1:13" x14ac:dyDescent="0.35">
      <c r="A98" t="s">
        <v>48</v>
      </c>
      <c r="B98" s="2">
        <v>7</v>
      </c>
      <c r="C98" s="2">
        <v>8</v>
      </c>
      <c r="D98" s="4">
        <v>2.31</v>
      </c>
      <c r="E98" s="4">
        <v>2.4700000000000002</v>
      </c>
      <c r="F98" s="4">
        <v>2.64</v>
      </c>
      <c r="G98" s="4">
        <v>2.82</v>
      </c>
      <c r="H98" s="4">
        <v>3.01</v>
      </c>
      <c r="I98" s="4">
        <v>3.21</v>
      </c>
      <c r="J98" s="4">
        <v>3.43</v>
      </c>
      <c r="K98" s="4">
        <v>3.66</v>
      </c>
      <c r="L98" t="s">
        <v>48</v>
      </c>
      <c r="M98">
        <v>12</v>
      </c>
    </row>
    <row r="99" spans="1:13" x14ac:dyDescent="0.35">
      <c r="A99" t="s">
        <v>48</v>
      </c>
      <c r="B99" s="2">
        <v>8</v>
      </c>
      <c r="C99" s="2">
        <v>8.1</v>
      </c>
      <c r="D99" s="3">
        <f>10*0.23</f>
        <v>2.3000000000000003</v>
      </c>
      <c r="E99" s="3">
        <f>10*0.25</f>
        <v>2.5</v>
      </c>
      <c r="F99" s="3">
        <f>10*0.26</f>
        <v>2.6</v>
      </c>
      <c r="G99" s="3">
        <f>10*0.28</f>
        <v>2.8000000000000003</v>
      </c>
      <c r="H99" s="3">
        <f>10*0.3</f>
        <v>3</v>
      </c>
      <c r="I99" s="3">
        <f>10*0.32</f>
        <v>3.2</v>
      </c>
      <c r="J99" s="3">
        <f>10*0.34</f>
        <v>3.4000000000000004</v>
      </c>
      <c r="K99" s="3">
        <f>10*0.37</f>
        <v>3.7</v>
      </c>
      <c r="L99" t="s">
        <v>48</v>
      </c>
      <c r="M99">
        <v>12</v>
      </c>
    </row>
  </sheetData>
  <autoFilter ref="A1:M99" xr:uid="{D0A0D448-6970-4A08-BD74-F218763C6E49}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8C81-B6DB-49B2-BCCD-C2DF6F29A65A}">
  <dimension ref="A1:T118"/>
  <sheetViews>
    <sheetView workbookViewId="0">
      <selection activeCell="F7" sqref="F7"/>
    </sheetView>
  </sheetViews>
  <sheetFormatPr defaultRowHeight="14.5" x14ac:dyDescent="0.35"/>
  <cols>
    <col min="11" max="11" width="15.7265625" bestFit="1" customWidth="1"/>
  </cols>
  <sheetData>
    <row r="1" spans="1:20" ht="43.5" x14ac:dyDescent="0.35">
      <c r="A1" t="s">
        <v>39</v>
      </c>
      <c r="B1" t="s">
        <v>18</v>
      </c>
      <c r="C1" t="s">
        <v>9</v>
      </c>
      <c r="D1" t="s">
        <v>14</v>
      </c>
      <c r="E1" t="s">
        <v>17</v>
      </c>
      <c r="F1" t="s">
        <v>16</v>
      </c>
      <c r="G1" t="s">
        <v>15</v>
      </c>
      <c r="H1" t="s">
        <v>48</v>
      </c>
      <c r="I1" t="s">
        <v>45</v>
      </c>
      <c r="K1" t="s">
        <v>59</v>
      </c>
      <c r="L1" t="s">
        <v>39</v>
      </c>
      <c r="M1" t="s">
        <v>37</v>
      </c>
      <c r="N1" t="s">
        <v>54</v>
      </c>
      <c r="O1" s="12" t="s">
        <v>55</v>
      </c>
      <c r="P1" s="12" t="s">
        <v>61</v>
      </c>
      <c r="Q1" s="12" t="s">
        <v>60</v>
      </c>
      <c r="R1" s="12" t="s">
        <v>56</v>
      </c>
      <c r="S1" s="12" t="s">
        <v>57</v>
      </c>
      <c r="T1" s="12" t="s">
        <v>58</v>
      </c>
    </row>
    <row r="2" spans="1:20" x14ac:dyDescent="0.35">
      <c r="A2" t="s">
        <v>46</v>
      </c>
      <c r="B2" s="9">
        <v>0.4</v>
      </c>
      <c r="C2" s="9">
        <v>0.42</v>
      </c>
      <c r="D2" s="9">
        <v>0</v>
      </c>
      <c r="E2" s="9">
        <v>0</v>
      </c>
      <c r="F2" s="9">
        <v>0</v>
      </c>
      <c r="G2" s="9">
        <v>0</v>
      </c>
      <c r="H2" s="9">
        <v>0.18</v>
      </c>
      <c r="I2" s="1">
        <f>SUM(B2:H2)</f>
        <v>1</v>
      </c>
      <c r="K2" s="11">
        <v>10</v>
      </c>
      <c r="L2" t="s">
        <v>40</v>
      </c>
      <c r="M2" t="s">
        <v>18</v>
      </c>
      <c r="N2">
        <f>$K$2*VLOOKUP(L2,$A$2:$H$7,MATCH(M2,$A$1:$H$1,0),0)</f>
        <v>0</v>
      </c>
      <c r="O2" s="9">
        <f>IF($N2=0,0,_xlfn.NORM.DIST($K$2*0.1,$N2,SQRT($K$2)/2,1))</f>
        <v>0</v>
      </c>
      <c r="P2" s="9">
        <f t="shared" ref="P2:P43" si="0">IF($N2=0,0,_xlfn.NORM.DIST(MAX($N2-$K$5,0),$N2,SQRT($K$2)/2,1))</f>
        <v>0</v>
      </c>
      <c r="Q2" s="9">
        <f>IF($N2=0,0,_xlfn.NORM.DIST(MAX($N2-2,0),$N2,SQRT($K$2)/2,1))</f>
        <v>0</v>
      </c>
      <c r="R2" s="9">
        <f>IF($N2=0,0,_xlfn.NORM.DIST($N2,$N2,SQRT($K$2)/2,1))</f>
        <v>0</v>
      </c>
      <c r="S2" s="9">
        <f>IF($N2=0,0,1-_xlfn.NORM.DIST($K$2*0.5,$N2,SQRT($K$2)/2,1))</f>
        <v>0</v>
      </c>
      <c r="T2" s="9">
        <f>IF($N2=0,0,1-_xlfn.NORM.DIST($K$2*0.9,$N2,SQRT($K$2)/2,1))</f>
        <v>0</v>
      </c>
    </row>
    <row r="3" spans="1:20" x14ac:dyDescent="0.35">
      <c r="A3" t="s">
        <v>40</v>
      </c>
      <c r="B3" s="9">
        <v>0</v>
      </c>
      <c r="C3" s="9">
        <v>0.37</v>
      </c>
      <c r="D3" s="9">
        <v>0.27</v>
      </c>
      <c r="E3" s="9">
        <v>0</v>
      </c>
      <c r="F3" s="9">
        <v>0.26</v>
      </c>
      <c r="G3" s="9">
        <v>0</v>
      </c>
      <c r="H3" s="9">
        <v>0.1</v>
      </c>
      <c r="I3" s="1">
        <f t="shared" ref="I3:I7" si="1">SUM(B3:H3)</f>
        <v>1</v>
      </c>
      <c r="L3" t="s">
        <v>40</v>
      </c>
      <c r="M3" t="s">
        <v>9</v>
      </c>
      <c r="N3">
        <f t="shared" ref="N3:N43" si="2">$K$2*VLOOKUP(L3,$A$2:$H$7,MATCH(M3,$A$1:$H$1,0),0)</f>
        <v>3.7</v>
      </c>
      <c r="O3" s="9">
        <f t="shared" ref="O3:O43" si="3">IF($N3=0,0,_xlfn.NORM.DIST($K$2*0.1,$N3,SQRT($K$2)/2,1))</f>
        <v>4.3852514991011907E-2</v>
      </c>
      <c r="P3" s="9">
        <f t="shared" si="0"/>
        <v>2.8889785561798619E-2</v>
      </c>
      <c r="Q3" s="9">
        <f t="shared" ref="Q3:Q43" si="4">IF($N3=0,0,_xlfn.NORM.DIST(MAX($N3-2,0),$N3,SQRT($K$2)/2,1))</f>
        <v>0.10295160536603414</v>
      </c>
      <c r="R3" s="9">
        <f t="shared" ref="R3:R43" si="5">IF($N3=0,0,_xlfn.NORM.DIST($N3,$N3,SQRT($K$2)/2,1))</f>
        <v>0.5</v>
      </c>
      <c r="S3" s="9">
        <f t="shared" ref="S3:S43" si="6">IF($N3=0,0,1-_xlfn.NORM.DIST($K$2*0.5,$N3,SQRT($K$2)/2,1))</f>
        <v>0.20548376104416799</v>
      </c>
      <c r="T3" s="9">
        <f t="shared" ref="T3:T43" si="7">IF($N3=0,0,1-_xlfn.NORM.DIST($K$2*0.9,$N3,SQRT($K$2)/2,1))</f>
        <v>4.0112934521929766E-4</v>
      </c>
    </row>
    <row r="4" spans="1:20" x14ac:dyDescent="0.35">
      <c r="A4" t="s">
        <v>41</v>
      </c>
      <c r="B4" s="9">
        <v>0</v>
      </c>
      <c r="C4" s="9">
        <v>0.32</v>
      </c>
      <c r="D4" s="9">
        <v>0.18</v>
      </c>
      <c r="E4" s="9">
        <v>0.23</v>
      </c>
      <c r="F4" s="9">
        <v>0.17</v>
      </c>
      <c r="G4" s="9">
        <v>0</v>
      </c>
      <c r="H4" s="9">
        <v>0.1</v>
      </c>
      <c r="I4" s="1">
        <f t="shared" si="1"/>
        <v>1</v>
      </c>
      <c r="K4" t="s">
        <v>62</v>
      </c>
      <c r="L4" t="s">
        <v>40</v>
      </c>
      <c r="M4" t="s">
        <v>14</v>
      </c>
      <c r="N4">
        <f t="shared" si="2"/>
        <v>2.7</v>
      </c>
      <c r="O4" s="9">
        <f t="shared" si="3"/>
        <v>0.14114832629165716</v>
      </c>
      <c r="P4" s="9">
        <f t="shared" si="0"/>
        <v>4.3852514991011907E-2</v>
      </c>
      <c r="Q4" s="9">
        <f t="shared" si="4"/>
        <v>0.10295160536603414</v>
      </c>
      <c r="R4" s="9">
        <f t="shared" si="5"/>
        <v>0.5</v>
      </c>
      <c r="S4" s="9">
        <f t="shared" si="6"/>
        <v>7.2883405906556176E-2</v>
      </c>
      <c r="T4" s="9">
        <f t="shared" si="7"/>
        <v>3.381547112646377E-5</v>
      </c>
    </row>
    <row r="5" spans="1:20" x14ac:dyDescent="0.35">
      <c r="A5" t="s">
        <v>42</v>
      </c>
      <c r="B5" s="9">
        <v>0</v>
      </c>
      <c r="C5" s="9">
        <v>0.28000000000000003</v>
      </c>
      <c r="D5" s="9">
        <v>0.39</v>
      </c>
      <c r="E5" s="9">
        <v>0</v>
      </c>
      <c r="F5" s="9">
        <v>0.23</v>
      </c>
      <c r="G5" s="9">
        <v>0</v>
      </c>
      <c r="H5" s="9">
        <v>0.1</v>
      </c>
      <c r="I5" s="1">
        <f t="shared" si="1"/>
        <v>1</v>
      </c>
      <c r="K5" s="11">
        <v>3</v>
      </c>
      <c r="L5" t="s">
        <v>40</v>
      </c>
      <c r="M5" t="s">
        <v>17</v>
      </c>
      <c r="N5">
        <f t="shared" si="2"/>
        <v>0</v>
      </c>
      <c r="O5" s="9">
        <f t="shared" si="3"/>
        <v>0</v>
      </c>
      <c r="P5" s="9">
        <f t="shared" si="0"/>
        <v>0</v>
      </c>
      <c r="Q5" s="9">
        <f t="shared" si="4"/>
        <v>0</v>
      </c>
      <c r="R5" s="9">
        <f t="shared" si="5"/>
        <v>0</v>
      </c>
      <c r="S5" s="9">
        <f t="shared" si="6"/>
        <v>0</v>
      </c>
      <c r="T5" s="9">
        <f t="shared" si="7"/>
        <v>0</v>
      </c>
    </row>
    <row r="6" spans="1:20" x14ac:dyDescent="0.35">
      <c r="A6" t="s">
        <v>43</v>
      </c>
      <c r="B6" s="9">
        <v>0</v>
      </c>
      <c r="C6" s="9">
        <v>0.15</v>
      </c>
      <c r="D6" s="9">
        <v>0.2</v>
      </c>
      <c r="E6" s="9">
        <v>0.34</v>
      </c>
      <c r="F6" s="9">
        <v>0.21</v>
      </c>
      <c r="G6" s="9">
        <v>0</v>
      </c>
      <c r="H6" s="9">
        <v>0.1</v>
      </c>
      <c r="I6" s="1">
        <f t="shared" si="1"/>
        <v>0.99999999999999989</v>
      </c>
      <c r="L6" t="s">
        <v>40</v>
      </c>
      <c r="M6" t="s">
        <v>16</v>
      </c>
      <c r="N6">
        <f t="shared" si="2"/>
        <v>2.6</v>
      </c>
      <c r="O6" s="9">
        <f t="shared" si="3"/>
        <v>0.1557860366572042</v>
      </c>
      <c r="P6" s="9">
        <f t="shared" si="0"/>
        <v>5.0048414425616077E-2</v>
      </c>
      <c r="Q6" s="9">
        <f t="shared" si="4"/>
        <v>0.10295160536603414</v>
      </c>
      <c r="R6" s="9">
        <f t="shared" si="5"/>
        <v>0.5</v>
      </c>
      <c r="S6" s="9">
        <f t="shared" si="6"/>
        <v>6.4520652549734048E-2</v>
      </c>
      <c r="T6" s="9">
        <f t="shared" si="7"/>
        <v>2.5859988931231648E-5</v>
      </c>
    </row>
    <row r="7" spans="1:20" x14ac:dyDescent="0.35">
      <c r="A7" t="s">
        <v>44</v>
      </c>
      <c r="B7" s="9">
        <v>0</v>
      </c>
      <c r="C7" s="9">
        <v>0</v>
      </c>
      <c r="D7" s="9">
        <v>0</v>
      </c>
      <c r="E7" s="9">
        <v>0.26</v>
      </c>
      <c r="F7" s="9">
        <v>0.26</v>
      </c>
      <c r="G7" s="9">
        <v>0.38</v>
      </c>
      <c r="H7" s="9">
        <v>0.1</v>
      </c>
      <c r="I7" s="1">
        <f t="shared" si="1"/>
        <v>1</v>
      </c>
      <c r="L7" t="s">
        <v>40</v>
      </c>
      <c r="M7" t="s">
        <v>15</v>
      </c>
      <c r="N7">
        <f t="shared" si="2"/>
        <v>0</v>
      </c>
      <c r="O7" s="9">
        <f t="shared" si="3"/>
        <v>0</v>
      </c>
      <c r="P7" s="9">
        <f t="shared" si="0"/>
        <v>0</v>
      </c>
      <c r="Q7" s="9">
        <f t="shared" si="4"/>
        <v>0</v>
      </c>
      <c r="R7" s="9">
        <f t="shared" si="5"/>
        <v>0</v>
      </c>
      <c r="S7" s="9">
        <f t="shared" si="6"/>
        <v>0</v>
      </c>
      <c r="T7" s="9">
        <f t="shared" si="7"/>
        <v>0</v>
      </c>
    </row>
    <row r="8" spans="1:20" x14ac:dyDescent="0.35">
      <c r="L8" t="s">
        <v>40</v>
      </c>
      <c r="M8" t="s">
        <v>48</v>
      </c>
      <c r="N8">
        <f t="shared" si="2"/>
        <v>1</v>
      </c>
      <c r="O8" s="9">
        <f t="shared" si="3"/>
        <v>0.5</v>
      </c>
      <c r="P8" s="9">
        <f t="shared" si="0"/>
        <v>0.26354462843276905</v>
      </c>
      <c r="Q8" s="9">
        <f t="shared" si="4"/>
        <v>0.26354462843276905</v>
      </c>
      <c r="R8" s="9">
        <f t="shared" si="5"/>
        <v>0.5</v>
      </c>
      <c r="S8" s="9">
        <f t="shared" si="6"/>
        <v>5.7060181930008724E-3</v>
      </c>
      <c r="T8" s="9">
        <f t="shared" si="7"/>
        <v>2.1001969885414695E-7</v>
      </c>
    </row>
    <row r="9" spans="1:20" x14ac:dyDescent="0.35">
      <c r="B9" t="s">
        <v>5</v>
      </c>
      <c r="L9" t="s">
        <v>41</v>
      </c>
      <c r="M9" t="s">
        <v>18</v>
      </c>
      <c r="N9">
        <f t="shared" si="2"/>
        <v>0</v>
      </c>
      <c r="O9" s="9">
        <f t="shared" si="3"/>
        <v>0</v>
      </c>
      <c r="P9" s="9">
        <f t="shared" si="0"/>
        <v>0</v>
      </c>
      <c r="Q9" s="9">
        <f t="shared" si="4"/>
        <v>0</v>
      </c>
      <c r="R9" s="9">
        <f t="shared" si="5"/>
        <v>0</v>
      </c>
      <c r="S9" s="9">
        <f t="shared" si="6"/>
        <v>0</v>
      </c>
      <c r="T9" s="9">
        <f t="shared" si="7"/>
        <v>0</v>
      </c>
    </row>
    <row r="10" spans="1:20" x14ac:dyDescent="0.35">
      <c r="A10" t="s">
        <v>18</v>
      </c>
      <c r="B10" s="1">
        <v>0.8</v>
      </c>
      <c r="L10" t="s">
        <v>41</v>
      </c>
      <c r="M10" t="s">
        <v>9</v>
      </c>
      <c r="N10">
        <f t="shared" si="2"/>
        <v>3.2</v>
      </c>
      <c r="O10" s="9">
        <f t="shared" si="3"/>
        <v>8.2051753412893391E-2</v>
      </c>
      <c r="P10" s="9">
        <f t="shared" si="0"/>
        <v>2.8889785561798619E-2</v>
      </c>
      <c r="Q10" s="9">
        <f t="shared" si="4"/>
        <v>0.10295160536603414</v>
      </c>
      <c r="R10" s="9">
        <f t="shared" si="5"/>
        <v>0.5</v>
      </c>
      <c r="S10" s="9">
        <f t="shared" si="6"/>
        <v>0.12747258215866064</v>
      </c>
      <c r="T10" s="9">
        <f t="shared" si="7"/>
        <v>1.2211194384692536E-4</v>
      </c>
    </row>
    <row r="11" spans="1:20" x14ac:dyDescent="0.35">
      <c r="A11" t="s">
        <v>9</v>
      </c>
      <c r="B11" s="10">
        <v>0.68500000000000005</v>
      </c>
      <c r="L11" t="s">
        <v>41</v>
      </c>
      <c r="M11" t="s">
        <v>14</v>
      </c>
      <c r="N11">
        <f t="shared" si="2"/>
        <v>1.7999999999999998</v>
      </c>
      <c r="O11" s="9">
        <f t="shared" si="3"/>
        <v>0.30644081170661824</v>
      </c>
      <c r="P11" s="9">
        <f t="shared" si="0"/>
        <v>0.12747258215866061</v>
      </c>
      <c r="Q11" s="9">
        <f t="shared" si="4"/>
        <v>0.12747258215866061</v>
      </c>
      <c r="R11" s="9">
        <f t="shared" si="5"/>
        <v>0.5</v>
      </c>
      <c r="S11" s="9">
        <f t="shared" si="6"/>
        <v>2.1492397535429308E-2</v>
      </c>
      <c r="T11" s="9">
        <f t="shared" si="7"/>
        <v>2.6357783732278151E-6</v>
      </c>
    </row>
    <row r="12" spans="1:20" x14ac:dyDescent="0.35">
      <c r="A12" t="s">
        <v>14</v>
      </c>
      <c r="B12" s="10">
        <v>0.56499999999999995</v>
      </c>
      <c r="L12" t="s">
        <v>41</v>
      </c>
      <c r="M12" t="s">
        <v>17</v>
      </c>
      <c r="N12">
        <f t="shared" si="2"/>
        <v>2.3000000000000003</v>
      </c>
      <c r="O12" s="9">
        <f t="shared" si="3"/>
        <v>0.20548376104416799</v>
      </c>
      <c r="P12" s="9">
        <f t="shared" si="0"/>
        <v>7.2883405906556134E-2</v>
      </c>
      <c r="Q12" s="9">
        <f t="shared" si="4"/>
        <v>0.10295160536603414</v>
      </c>
      <c r="R12" s="9">
        <f t="shared" si="5"/>
        <v>0.5</v>
      </c>
      <c r="S12" s="9">
        <f t="shared" si="6"/>
        <v>4.3852514991011948E-2</v>
      </c>
      <c r="T12" s="9">
        <f t="shared" si="7"/>
        <v>1.1303533255180298E-5</v>
      </c>
    </row>
    <row r="13" spans="1:20" x14ac:dyDescent="0.35">
      <c r="A13" t="s">
        <v>17</v>
      </c>
      <c r="B13" s="10">
        <v>0.42499999999999999</v>
      </c>
      <c r="L13" t="s">
        <v>41</v>
      </c>
      <c r="M13" t="s">
        <v>16</v>
      </c>
      <c r="N13">
        <f t="shared" si="2"/>
        <v>1.7000000000000002</v>
      </c>
      <c r="O13" s="9">
        <f t="shared" si="3"/>
        <v>0.3289845450319101</v>
      </c>
      <c r="P13" s="9">
        <f t="shared" si="0"/>
        <v>0.14114832629165716</v>
      </c>
      <c r="Q13" s="9">
        <f t="shared" si="4"/>
        <v>0.14114832629165716</v>
      </c>
      <c r="R13" s="9">
        <f t="shared" si="5"/>
        <v>0.5</v>
      </c>
      <c r="S13" s="9">
        <f t="shared" si="6"/>
        <v>1.843940092055063E-2</v>
      </c>
      <c r="T13" s="9">
        <f t="shared" si="7"/>
        <v>1.9473361229094266E-6</v>
      </c>
    </row>
    <row r="14" spans="1:20" x14ac:dyDescent="0.35">
      <c r="A14" t="s">
        <v>16</v>
      </c>
      <c r="B14" s="1">
        <v>1</v>
      </c>
      <c r="L14" t="s">
        <v>41</v>
      </c>
      <c r="M14" t="s">
        <v>15</v>
      </c>
      <c r="N14">
        <f t="shared" si="2"/>
        <v>0</v>
      </c>
      <c r="O14" s="9">
        <f t="shared" si="3"/>
        <v>0</v>
      </c>
      <c r="P14" s="9">
        <f t="shared" si="0"/>
        <v>0</v>
      </c>
      <c r="Q14" s="9">
        <f t="shared" si="4"/>
        <v>0</v>
      </c>
      <c r="R14" s="9">
        <f t="shared" si="5"/>
        <v>0</v>
      </c>
      <c r="S14" s="9">
        <f t="shared" si="6"/>
        <v>0</v>
      </c>
      <c r="T14" s="9">
        <f t="shared" si="7"/>
        <v>0</v>
      </c>
    </row>
    <row r="15" spans="1:20" x14ac:dyDescent="0.35">
      <c r="A15" t="s">
        <v>15</v>
      </c>
      <c r="B15" s="1">
        <v>0.4</v>
      </c>
      <c r="L15" t="s">
        <v>41</v>
      </c>
      <c r="M15" t="s">
        <v>48</v>
      </c>
      <c r="N15">
        <f t="shared" si="2"/>
        <v>1</v>
      </c>
      <c r="O15" s="9">
        <f t="shared" si="3"/>
        <v>0.5</v>
      </c>
      <c r="P15" s="9">
        <f t="shared" si="0"/>
        <v>0.26354462843276905</v>
      </c>
      <c r="Q15" s="9">
        <f t="shared" si="4"/>
        <v>0.26354462843276905</v>
      </c>
      <c r="R15" s="9">
        <f t="shared" si="5"/>
        <v>0.5</v>
      </c>
      <c r="S15" s="9">
        <f t="shared" si="6"/>
        <v>5.7060181930008724E-3</v>
      </c>
      <c r="T15" s="9">
        <f t="shared" si="7"/>
        <v>2.1001969885414695E-7</v>
      </c>
    </row>
    <row r="16" spans="1:20" x14ac:dyDescent="0.35">
      <c r="A16" t="s">
        <v>48</v>
      </c>
      <c r="B16" s="1">
        <v>1</v>
      </c>
      <c r="L16" t="s">
        <v>42</v>
      </c>
      <c r="M16" t="s">
        <v>18</v>
      </c>
      <c r="N16">
        <f t="shared" si="2"/>
        <v>0</v>
      </c>
      <c r="O16" s="9">
        <f t="shared" si="3"/>
        <v>0</v>
      </c>
      <c r="P16" s="9">
        <f t="shared" si="0"/>
        <v>0</v>
      </c>
      <c r="Q16" s="9">
        <f t="shared" si="4"/>
        <v>0</v>
      </c>
      <c r="R16" s="9">
        <f t="shared" si="5"/>
        <v>0</v>
      </c>
      <c r="S16" s="9">
        <f t="shared" si="6"/>
        <v>0</v>
      </c>
      <c r="T16" s="9">
        <f t="shared" si="7"/>
        <v>0</v>
      </c>
    </row>
    <row r="17" spans="1:20" x14ac:dyDescent="0.35">
      <c r="L17" t="s">
        <v>42</v>
      </c>
      <c r="M17" t="s">
        <v>9</v>
      </c>
      <c r="N17">
        <f t="shared" si="2"/>
        <v>2.8000000000000003</v>
      </c>
      <c r="O17" s="9">
        <f t="shared" si="3"/>
        <v>0.12747258215866056</v>
      </c>
      <c r="P17" s="9">
        <f t="shared" si="0"/>
        <v>3.8290704517834978E-2</v>
      </c>
      <c r="Q17" s="9">
        <f t="shared" si="4"/>
        <v>0.10295160536603414</v>
      </c>
      <c r="R17" s="9">
        <f t="shared" si="5"/>
        <v>0.5</v>
      </c>
      <c r="S17" s="9">
        <f t="shared" si="6"/>
        <v>8.2051753412893391E-2</v>
      </c>
      <c r="T17" s="9">
        <f t="shared" si="7"/>
        <v>4.4050104271109447E-5</v>
      </c>
    </row>
    <row r="18" spans="1:20" x14ac:dyDescent="0.35">
      <c r="A18" t="s">
        <v>47</v>
      </c>
      <c r="B18" t="s">
        <v>46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L18" t="s">
        <v>42</v>
      </c>
      <c r="M18" t="s">
        <v>14</v>
      </c>
      <c r="N18">
        <f t="shared" si="2"/>
        <v>3.9000000000000004</v>
      </c>
      <c r="O18" s="9">
        <f t="shared" si="3"/>
        <v>3.3318014222894821E-2</v>
      </c>
      <c r="P18" s="9">
        <f t="shared" si="0"/>
        <v>2.8889785561798619E-2</v>
      </c>
      <c r="Q18" s="9">
        <f t="shared" si="4"/>
        <v>0.10295160536603414</v>
      </c>
      <c r="R18" s="9">
        <f t="shared" si="5"/>
        <v>0.5</v>
      </c>
      <c r="S18" s="9">
        <f t="shared" si="6"/>
        <v>0.24330802288202524</v>
      </c>
      <c r="T18" s="9">
        <f t="shared" si="7"/>
        <v>6.2871319129831349E-4</v>
      </c>
    </row>
    <row r="19" spans="1:20" x14ac:dyDescent="0.35">
      <c r="A19">
        <v>0</v>
      </c>
      <c r="B19" t="s">
        <v>18</v>
      </c>
      <c r="C19" t="s">
        <v>9</v>
      </c>
      <c r="D19" t="s">
        <v>9</v>
      </c>
      <c r="E19" t="s">
        <v>9</v>
      </c>
      <c r="F19" t="s">
        <v>9</v>
      </c>
      <c r="G19" t="s">
        <v>17</v>
      </c>
      <c r="L19" t="s">
        <v>42</v>
      </c>
      <c r="M19" t="s">
        <v>17</v>
      </c>
      <c r="N19">
        <f t="shared" si="2"/>
        <v>0</v>
      </c>
      <c r="O19" s="9">
        <f t="shared" si="3"/>
        <v>0</v>
      </c>
      <c r="P19" s="9">
        <f t="shared" si="0"/>
        <v>0</v>
      </c>
      <c r="Q19" s="9">
        <f t="shared" si="4"/>
        <v>0</v>
      </c>
      <c r="R19" s="9">
        <f t="shared" si="5"/>
        <v>0</v>
      </c>
      <c r="S19" s="9">
        <f t="shared" si="6"/>
        <v>0</v>
      </c>
      <c r="T19" s="9">
        <f t="shared" si="7"/>
        <v>0</v>
      </c>
    </row>
    <row r="20" spans="1:20" x14ac:dyDescent="0.35">
      <c r="A20">
        <v>0.01</v>
      </c>
      <c r="B20" t="s">
        <v>18</v>
      </c>
      <c r="C20" t="s">
        <v>9</v>
      </c>
      <c r="D20" t="s">
        <v>9</v>
      </c>
      <c r="E20" t="s">
        <v>9</v>
      </c>
      <c r="F20" t="s">
        <v>9</v>
      </c>
      <c r="G20" t="s">
        <v>17</v>
      </c>
      <c r="L20" t="s">
        <v>42</v>
      </c>
      <c r="M20" t="s">
        <v>16</v>
      </c>
      <c r="N20">
        <f t="shared" si="2"/>
        <v>2.3000000000000003</v>
      </c>
      <c r="O20" s="9">
        <f t="shared" si="3"/>
        <v>0.20548376104416799</v>
      </c>
      <c r="P20" s="9">
        <f t="shared" si="0"/>
        <v>7.2883405906556134E-2</v>
      </c>
      <c r="Q20" s="9">
        <f t="shared" si="4"/>
        <v>0.10295160536603414</v>
      </c>
      <c r="R20" s="9">
        <f t="shared" si="5"/>
        <v>0.5</v>
      </c>
      <c r="S20" s="9">
        <f t="shared" si="6"/>
        <v>4.3852514991011948E-2</v>
      </c>
      <c r="T20" s="9">
        <f t="shared" si="7"/>
        <v>1.1303533255180298E-5</v>
      </c>
    </row>
    <row r="21" spans="1:20" x14ac:dyDescent="0.35">
      <c r="A21">
        <v>0.02</v>
      </c>
      <c r="B21" t="s">
        <v>18</v>
      </c>
      <c r="C21" t="s">
        <v>9</v>
      </c>
      <c r="D21" t="s">
        <v>9</v>
      </c>
      <c r="E21" t="s">
        <v>9</v>
      </c>
      <c r="F21" t="s">
        <v>9</v>
      </c>
      <c r="G21" t="s">
        <v>17</v>
      </c>
      <c r="L21" t="s">
        <v>42</v>
      </c>
      <c r="M21" t="s">
        <v>15</v>
      </c>
      <c r="N21">
        <f t="shared" si="2"/>
        <v>0</v>
      </c>
      <c r="O21" s="9">
        <f t="shared" si="3"/>
        <v>0</v>
      </c>
      <c r="P21" s="9">
        <f t="shared" si="0"/>
        <v>0</v>
      </c>
      <c r="Q21" s="9">
        <f t="shared" si="4"/>
        <v>0</v>
      </c>
      <c r="R21" s="9">
        <f t="shared" si="5"/>
        <v>0</v>
      </c>
      <c r="S21" s="9">
        <f t="shared" si="6"/>
        <v>0</v>
      </c>
      <c r="T21" s="9">
        <f t="shared" si="7"/>
        <v>0</v>
      </c>
    </row>
    <row r="22" spans="1:20" x14ac:dyDescent="0.35">
      <c r="A22">
        <v>0.03</v>
      </c>
      <c r="B22" t="s">
        <v>18</v>
      </c>
      <c r="C22" t="s">
        <v>9</v>
      </c>
      <c r="D22" t="s">
        <v>9</v>
      </c>
      <c r="E22" t="s">
        <v>9</v>
      </c>
      <c r="F22" t="s">
        <v>9</v>
      </c>
      <c r="G22" t="s">
        <v>17</v>
      </c>
      <c r="L22" t="s">
        <v>42</v>
      </c>
      <c r="M22" t="s">
        <v>48</v>
      </c>
      <c r="N22">
        <f t="shared" si="2"/>
        <v>1</v>
      </c>
      <c r="O22" s="9">
        <f t="shared" si="3"/>
        <v>0.5</v>
      </c>
      <c r="P22" s="9">
        <f t="shared" si="0"/>
        <v>0.26354462843276905</v>
      </c>
      <c r="Q22" s="9">
        <f t="shared" si="4"/>
        <v>0.26354462843276905</v>
      </c>
      <c r="R22" s="9">
        <f t="shared" si="5"/>
        <v>0.5</v>
      </c>
      <c r="S22" s="9">
        <f t="shared" si="6"/>
        <v>5.7060181930008724E-3</v>
      </c>
      <c r="T22" s="9">
        <f t="shared" si="7"/>
        <v>2.1001969885414695E-7</v>
      </c>
    </row>
    <row r="23" spans="1:20" x14ac:dyDescent="0.35">
      <c r="A23">
        <v>0.04</v>
      </c>
      <c r="B23" t="s">
        <v>18</v>
      </c>
      <c r="C23" t="s">
        <v>9</v>
      </c>
      <c r="D23" t="s">
        <v>9</v>
      </c>
      <c r="E23" t="s">
        <v>9</v>
      </c>
      <c r="F23" t="s">
        <v>9</v>
      </c>
      <c r="G23" t="s">
        <v>17</v>
      </c>
      <c r="L23" t="s">
        <v>43</v>
      </c>
      <c r="M23" t="s">
        <v>18</v>
      </c>
      <c r="N23">
        <f t="shared" si="2"/>
        <v>0</v>
      </c>
      <c r="O23" s="9">
        <f t="shared" si="3"/>
        <v>0</v>
      </c>
      <c r="P23" s="9">
        <f t="shared" si="0"/>
        <v>0</v>
      </c>
      <c r="Q23" s="9">
        <f t="shared" si="4"/>
        <v>0</v>
      </c>
      <c r="R23" s="9">
        <f t="shared" si="5"/>
        <v>0</v>
      </c>
      <c r="S23" s="9">
        <f t="shared" si="6"/>
        <v>0</v>
      </c>
      <c r="T23" s="9">
        <f t="shared" si="7"/>
        <v>0</v>
      </c>
    </row>
    <row r="24" spans="1:20" x14ac:dyDescent="0.35">
      <c r="A24">
        <v>0.05</v>
      </c>
      <c r="B24" t="s">
        <v>18</v>
      </c>
      <c r="C24" t="s">
        <v>9</v>
      </c>
      <c r="D24" t="s">
        <v>9</v>
      </c>
      <c r="E24" t="s">
        <v>9</v>
      </c>
      <c r="F24" t="s">
        <v>9</v>
      </c>
      <c r="G24" t="s">
        <v>17</v>
      </c>
      <c r="L24" t="s">
        <v>43</v>
      </c>
      <c r="M24" t="s">
        <v>9</v>
      </c>
      <c r="N24">
        <f t="shared" si="2"/>
        <v>1.5</v>
      </c>
      <c r="O24" s="9">
        <f t="shared" si="3"/>
        <v>0.37591481702292462</v>
      </c>
      <c r="P24" s="9">
        <f t="shared" si="0"/>
        <v>0.17139085557395572</v>
      </c>
      <c r="Q24" s="9">
        <f t="shared" si="4"/>
        <v>0.17139085557395572</v>
      </c>
      <c r="R24" s="9">
        <f t="shared" si="5"/>
        <v>0.5</v>
      </c>
      <c r="S24" s="9">
        <f t="shared" si="6"/>
        <v>1.3428347753762226E-2</v>
      </c>
      <c r="T24" s="9">
        <f t="shared" si="7"/>
        <v>1.050717977957305E-6</v>
      </c>
    </row>
    <row r="25" spans="1:20" x14ac:dyDescent="0.35">
      <c r="A25">
        <v>0.06</v>
      </c>
      <c r="B25" t="s">
        <v>18</v>
      </c>
      <c r="C25" t="s">
        <v>9</v>
      </c>
      <c r="D25" t="s">
        <v>9</v>
      </c>
      <c r="E25" t="s">
        <v>9</v>
      </c>
      <c r="F25" t="s">
        <v>9</v>
      </c>
      <c r="G25" t="s">
        <v>17</v>
      </c>
      <c r="L25" t="s">
        <v>43</v>
      </c>
      <c r="M25" t="s">
        <v>14</v>
      </c>
      <c r="N25">
        <f t="shared" si="2"/>
        <v>2</v>
      </c>
      <c r="O25" s="9">
        <f t="shared" si="3"/>
        <v>0.26354462843276905</v>
      </c>
      <c r="P25" s="9">
        <f t="shared" si="0"/>
        <v>0.10295160536603414</v>
      </c>
      <c r="Q25" s="9">
        <f t="shared" si="4"/>
        <v>0.10295160536603414</v>
      </c>
      <c r="R25" s="9">
        <f t="shared" si="5"/>
        <v>0.5</v>
      </c>
      <c r="S25" s="9">
        <f t="shared" si="6"/>
        <v>2.8889785561798664E-2</v>
      </c>
      <c r="T25" s="9">
        <f t="shared" si="7"/>
        <v>4.7734599226689767E-6</v>
      </c>
    </row>
    <row r="26" spans="1:20" x14ac:dyDescent="0.35">
      <c r="A26">
        <v>7.0000000000000007E-2</v>
      </c>
      <c r="B26" t="s">
        <v>18</v>
      </c>
      <c r="C26" t="s">
        <v>9</v>
      </c>
      <c r="D26" t="s">
        <v>9</v>
      </c>
      <c r="E26" t="s">
        <v>9</v>
      </c>
      <c r="F26" t="s">
        <v>9</v>
      </c>
      <c r="G26" t="s">
        <v>17</v>
      </c>
      <c r="L26" t="s">
        <v>43</v>
      </c>
      <c r="M26" t="s">
        <v>17</v>
      </c>
      <c r="N26">
        <f t="shared" si="2"/>
        <v>3.4000000000000004</v>
      </c>
      <c r="O26" s="9">
        <f t="shared" si="3"/>
        <v>6.4520652549734034E-2</v>
      </c>
      <c r="P26" s="9">
        <f t="shared" si="0"/>
        <v>2.8889785561798619E-2</v>
      </c>
      <c r="Q26" s="9">
        <f t="shared" si="4"/>
        <v>0.10295160536603414</v>
      </c>
      <c r="R26" s="9">
        <f t="shared" si="5"/>
        <v>0.5</v>
      </c>
      <c r="S26" s="9">
        <f t="shared" si="6"/>
        <v>0.15578603665720425</v>
      </c>
      <c r="T26" s="9">
        <f t="shared" si="7"/>
        <v>1.9874026196720074E-4</v>
      </c>
    </row>
    <row r="27" spans="1:20" x14ac:dyDescent="0.35">
      <c r="A27">
        <v>0.08</v>
      </c>
      <c r="B27" t="s">
        <v>18</v>
      </c>
      <c r="C27" t="s">
        <v>9</v>
      </c>
      <c r="D27" t="s">
        <v>9</v>
      </c>
      <c r="E27" t="s">
        <v>9</v>
      </c>
      <c r="F27" t="s">
        <v>9</v>
      </c>
      <c r="G27" t="s">
        <v>17</v>
      </c>
      <c r="L27" t="s">
        <v>43</v>
      </c>
      <c r="M27" t="s">
        <v>16</v>
      </c>
      <c r="N27">
        <f t="shared" si="2"/>
        <v>2.1</v>
      </c>
      <c r="O27" s="9">
        <f t="shared" si="3"/>
        <v>0.24330802288202519</v>
      </c>
      <c r="P27" s="9">
        <f t="shared" si="0"/>
        <v>9.2063186392489782E-2</v>
      </c>
      <c r="Q27" s="9">
        <f t="shared" si="4"/>
        <v>0.10295160536603414</v>
      </c>
      <c r="R27" s="9">
        <f t="shared" si="5"/>
        <v>0.5</v>
      </c>
      <c r="S27" s="9">
        <f t="shared" si="6"/>
        <v>3.3318014222894821E-2</v>
      </c>
      <c r="T27" s="9">
        <f t="shared" si="7"/>
        <v>6.3869386963677499E-6</v>
      </c>
    </row>
    <row r="28" spans="1:20" x14ac:dyDescent="0.35">
      <c r="A28">
        <v>0.09</v>
      </c>
      <c r="B28" t="s">
        <v>18</v>
      </c>
      <c r="C28" t="s">
        <v>9</v>
      </c>
      <c r="D28" t="s">
        <v>9</v>
      </c>
      <c r="E28" t="s">
        <v>9</v>
      </c>
      <c r="F28" t="s">
        <v>9</v>
      </c>
      <c r="G28" t="s">
        <v>17</v>
      </c>
      <c r="L28" t="s">
        <v>43</v>
      </c>
      <c r="M28" t="s">
        <v>15</v>
      </c>
      <c r="N28">
        <f t="shared" si="2"/>
        <v>0</v>
      </c>
      <c r="O28" s="9">
        <f t="shared" si="3"/>
        <v>0</v>
      </c>
      <c r="P28" s="9">
        <f t="shared" si="0"/>
        <v>0</v>
      </c>
      <c r="Q28" s="9">
        <f t="shared" si="4"/>
        <v>0</v>
      </c>
      <c r="R28" s="9">
        <f t="shared" si="5"/>
        <v>0</v>
      </c>
      <c r="S28" s="9">
        <f t="shared" si="6"/>
        <v>0</v>
      </c>
      <c r="T28" s="9">
        <f t="shared" si="7"/>
        <v>0</v>
      </c>
    </row>
    <row r="29" spans="1:20" x14ac:dyDescent="0.35">
      <c r="A29">
        <v>0.1</v>
      </c>
      <c r="B29" t="s">
        <v>18</v>
      </c>
      <c r="C29" t="s">
        <v>9</v>
      </c>
      <c r="D29" t="s">
        <v>9</v>
      </c>
      <c r="E29" t="s">
        <v>9</v>
      </c>
      <c r="F29" t="s">
        <v>9</v>
      </c>
      <c r="G29" t="s">
        <v>17</v>
      </c>
      <c r="L29" t="s">
        <v>43</v>
      </c>
      <c r="M29" t="s">
        <v>48</v>
      </c>
      <c r="N29">
        <f t="shared" si="2"/>
        <v>1</v>
      </c>
      <c r="O29" s="9">
        <f t="shared" si="3"/>
        <v>0.5</v>
      </c>
      <c r="P29" s="9">
        <f t="shared" si="0"/>
        <v>0.26354462843276905</v>
      </c>
      <c r="Q29" s="9">
        <f t="shared" si="4"/>
        <v>0.26354462843276905</v>
      </c>
      <c r="R29" s="9">
        <f t="shared" si="5"/>
        <v>0.5</v>
      </c>
      <c r="S29" s="9">
        <f t="shared" si="6"/>
        <v>5.7060181930008724E-3</v>
      </c>
      <c r="T29" s="9">
        <f t="shared" si="7"/>
        <v>2.1001969885414695E-7</v>
      </c>
    </row>
    <row r="30" spans="1:20" x14ac:dyDescent="0.35">
      <c r="A30">
        <v>0.11</v>
      </c>
      <c r="B30" t="s">
        <v>18</v>
      </c>
      <c r="C30" t="s">
        <v>9</v>
      </c>
      <c r="D30" t="s">
        <v>9</v>
      </c>
      <c r="E30" t="s">
        <v>9</v>
      </c>
      <c r="F30" t="s">
        <v>9</v>
      </c>
      <c r="G30" t="s">
        <v>17</v>
      </c>
      <c r="L30" t="s">
        <v>44</v>
      </c>
      <c r="M30" t="s">
        <v>18</v>
      </c>
      <c r="N30">
        <f t="shared" si="2"/>
        <v>0</v>
      </c>
      <c r="O30" s="9">
        <f t="shared" si="3"/>
        <v>0</v>
      </c>
      <c r="P30" s="9">
        <f t="shared" si="0"/>
        <v>0</v>
      </c>
      <c r="Q30" s="9">
        <f t="shared" si="4"/>
        <v>0</v>
      </c>
      <c r="R30" s="9">
        <f t="shared" si="5"/>
        <v>0</v>
      </c>
      <c r="S30" s="9">
        <f t="shared" si="6"/>
        <v>0</v>
      </c>
      <c r="T30" s="9">
        <f t="shared" si="7"/>
        <v>0</v>
      </c>
    </row>
    <row r="31" spans="1:20" x14ac:dyDescent="0.35">
      <c r="A31">
        <v>0.12</v>
      </c>
      <c r="B31" t="s">
        <v>18</v>
      </c>
      <c r="C31" t="s">
        <v>9</v>
      </c>
      <c r="D31" t="s">
        <v>9</v>
      </c>
      <c r="E31" t="s">
        <v>9</v>
      </c>
      <c r="F31" t="s">
        <v>9</v>
      </c>
      <c r="G31" t="s">
        <v>17</v>
      </c>
      <c r="L31" t="s">
        <v>44</v>
      </c>
      <c r="M31" t="s">
        <v>9</v>
      </c>
      <c r="N31">
        <f t="shared" si="2"/>
        <v>0</v>
      </c>
      <c r="O31" s="9">
        <f t="shared" si="3"/>
        <v>0</v>
      </c>
      <c r="P31" s="9">
        <f t="shared" si="0"/>
        <v>0</v>
      </c>
      <c r="Q31" s="9">
        <f t="shared" si="4"/>
        <v>0</v>
      </c>
      <c r="R31" s="9">
        <f t="shared" si="5"/>
        <v>0</v>
      </c>
      <c r="S31" s="9">
        <f t="shared" si="6"/>
        <v>0</v>
      </c>
      <c r="T31" s="9">
        <f t="shared" si="7"/>
        <v>0</v>
      </c>
    </row>
    <row r="32" spans="1:20" x14ac:dyDescent="0.35">
      <c r="A32">
        <v>0.13</v>
      </c>
      <c r="B32" t="s">
        <v>18</v>
      </c>
      <c r="C32" t="s">
        <v>9</v>
      </c>
      <c r="D32" t="s">
        <v>9</v>
      </c>
      <c r="E32" t="s">
        <v>9</v>
      </c>
      <c r="F32" t="s">
        <v>9</v>
      </c>
      <c r="G32" t="s">
        <v>17</v>
      </c>
      <c r="L32" t="s">
        <v>44</v>
      </c>
      <c r="M32" t="s">
        <v>14</v>
      </c>
      <c r="N32">
        <f t="shared" si="2"/>
        <v>0</v>
      </c>
      <c r="O32" s="9">
        <f t="shared" si="3"/>
        <v>0</v>
      </c>
      <c r="P32" s="9">
        <f t="shared" si="0"/>
        <v>0</v>
      </c>
      <c r="Q32" s="9">
        <f t="shared" si="4"/>
        <v>0</v>
      </c>
      <c r="R32" s="9">
        <f t="shared" si="5"/>
        <v>0</v>
      </c>
      <c r="S32" s="9">
        <f t="shared" si="6"/>
        <v>0</v>
      </c>
      <c r="T32" s="9">
        <f t="shared" si="7"/>
        <v>0</v>
      </c>
    </row>
    <row r="33" spans="1:20" x14ac:dyDescent="0.35">
      <c r="A33">
        <v>0.14000000000000001</v>
      </c>
      <c r="B33" t="s">
        <v>18</v>
      </c>
      <c r="C33" t="s">
        <v>9</v>
      </c>
      <c r="D33" t="s">
        <v>9</v>
      </c>
      <c r="E33" t="s">
        <v>9</v>
      </c>
      <c r="F33" t="s">
        <v>9</v>
      </c>
      <c r="G33" t="s">
        <v>17</v>
      </c>
      <c r="L33" t="s">
        <v>44</v>
      </c>
      <c r="M33" t="s">
        <v>17</v>
      </c>
      <c r="N33">
        <f t="shared" si="2"/>
        <v>2.6</v>
      </c>
      <c r="O33" s="9">
        <f t="shared" si="3"/>
        <v>0.1557860366572042</v>
      </c>
      <c r="P33" s="9">
        <f t="shared" si="0"/>
        <v>5.0048414425616077E-2</v>
      </c>
      <c r="Q33" s="9">
        <f t="shared" si="4"/>
        <v>0.10295160536603414</v>
      </c>
      <c r="R33" s="9">
        <f t="shared" si="5"/>
        <v>0.5</v>
      </c>
      <c r="S33" s="9">
        <f t="shared" si="6"/>
        <v>6.4520652549734048E-2</v>
      </c>
      <c r="T33" s="9">
        <f t="shared" si="7"/>
        <v>2.5859988931231648E-5</v>
      </c>
    </row>
    <row r="34" spans="1:20" x14ac:dyDescent="0.35">
      <c r="A34">
        <v>0.15</v>
      </c>
      <c r="B34" t="s">
        <v>18</v>
      </c>
      <c r="C34" t="s">
        <v>9</v>
      </c>
      <c r="D34" t="s">
        <v>9</v>
      </c>
      <c r="E34" t="s">
        <v>9</v>
      </c>
      <c r="F34" t="s">
        <v>14</v>
      </c>
      <c r="G34" t="s">
        <v>17</v>
      </c>
      <c r="L34" t="s">
        <v>44</v>
      </c>
      <c r="M34" t="s">
        <v>16</v>
      </c>
      <c r="N34">
        <f t="shared" si="2"/>
        <v>2.6</v>
      </c>
      <c r="O34" s="9">
        <f t="shared" si="3"/>
        <v>0.1557860366572042</v>
      </c>
      <c r="P34" s="9">
        <f t="shared" si="0"/>
        <v>5.0048414425616077E-2</v>
      </c>
      <c r="Q34" s="9">
        <f t="shared" si="4"/>
        <v>0.10295160536603414</v>
      </c>
      <c r="R34" s="9">
        <f t="shared" si="5"/>
        <v>0.5</v>
      </c>
      <c r="S34" s="9">
        <f t="shared" si="6"/>
        <v>6.4520652549734048E-2</v>
      </c>
      <c r="T34" s="9">
        <f t="shared" si="7"/>
        <v>2.5859988931231648E-5</v>
      </c>
    </row>
    <row r="35" spans="1:20" x14ac:dyDescent="0.35">
      <c r="A35">
        <v>0.16</v>
      </c>
      <c r="B35" t="s">
        <v>18</v>
      </c>
      <c r="C35" t="s">
        <v>9</v>
      </c>
      <c r="D35" t="s">
        <v>9</v>
      </c>
      <c r="E35" t="s">
        <v>9</v>
      </c>
      <c r="F35" t="s">
        <v>14</v>
      </c>
      <c r="G35" t="s">
        <v>17</v>
      </c>
      <c r="L35" t="s">
        <v>44</v>
      </c>
      <c r="M35" t="s">
        <v>15</v>
      </c>
      <c r="N35">
        <f t="shared" si="2"/>
        <v>3.8</v>
      </c>
      <c r="O35" s="9">
        <f t="shared" si="3"/>
        <v>3.8290704517834978E-2</v>
      </c>
      <c r="P35" s="9">
        <f t="shared" si="0"/>
        <v>2.8889785561798619E-2</v>
      </c>
      <c r="Q35" s="9">
        <f t="shared" si="4"/>
        <v>0.10295160536603414</v>
      </c>
      <c r="R35" s="9">
        <f t="shared" si="5"/>
        <v>0.5</v>
      </c>
      <c r="S35" s="9">
        <f t="shared" si="6"/>
        <v>0.22394223913205591</v>
      </c>
      <c r="T35" s="9">
        <f t="shared" si="7"/>
        <v>5.0313329039530785E-4</v>
      </c>
    </row>
    <row r="36" spans="1:20" x14ac:dyDescent="0.35">
      <c r="A36">
        <v>0.17</v>
      </c>
      <c r="B36" t="s">
        <v>18</v>
      </c>
      <c r="C36" t="s">
        <v>9</v>
      </c>
      <c r="D36" t="s">
        <v>9</v>
      </c>
      <c r="E36" t="s">
        <v>9</v>
      </c>
      <c r="F36" t="s">
        <v>14</v>
      </c>
      <c r="G36" t="s">
        <v>17</v>
      </c>
      <c r="L36" t="s">
        <v>44</v>
      </c>
      <c r="M36" t="s">
        <v>48</v>
      </c>
      <c r="N36">
        <f t="shared" si="2"/>
        <v>1</v>
      </c>
      <c r="O36" s="9">
        <f t="shared" si="3"/>
        <v>0.5</v>
      </c>
      <c r="P36" s="9">
        <f t="shared" si="0"/>
        <v>0.26354462843276905</v>
      </c>
      <c r="Q36" s="9">
        <f t="shared" si="4"/>
        <v>0.26354462843276905</v>
      </c>
      <c r="R36" s="9">
        <f t="shared" si="5"/>
        <v>0.5</v>
      </c>
      <c r="S36" s="9">
        <f t="shared" si="6"/>
        <v>5.7060181930008724E-3</v>
      </c>
      <c r="T36" s="9">
        <f t="shared" si="7"/>
        <v>2.1001969885414695E-7</v>
      </c>
    </row>
    <row r="37" spans="1:20" x14ac:dyDescent="0.35">
      <c r="A37">
        <v>0.18</v>
      </c>
      <c r="B37" t="s">
        <v>18</v>
      </c>
      <c r="C37" t="s">
        <v>9</v>
      </c>
      <c r="D37" t="s">
        <v>9</v>
      </c>
      <c r="E37" t="s">
        <v>9</v>
      </c>
      <c r="F37" t="s">
        <v>14</v>
      </c>
      <c r="G37" t="s">
        <v>17</v>
      </c>
      <c r="L37" t="s">
        <v>46</v>
      </c>
      <c r="M37" t="s">
        <v>18</v>
      </c>
      <c r="N37">
        <f t="shared" si="2"/>
        <v>4</v>
      </c>
      <c r="O37" s="9">
        <f t="shared" si="3"/>
        <v>2.8889785561798619E-2</v>
      </c>
      <c r="P37" s="9">
        <f t="shared" si="0"/>
        <v>2.8889785561798619E-2</v>
      </c>
      <c r="Q37" s="9">
        <f t="shared" si="4"/>
        <v>0.10295160536603414</v>
      </c>
      <c r="R37" s="9">
        <f t="shared" si="5"/>
        <v>0.5</v>
      </c>
      <c r="S37" s="9">
        <f t="shared" si="6"/>
        <v>0.26354462843276905</v>
      </c>
      <c r="T37" s="9">
        <f t="shared" si="7"/>
        <v>7.8270112900125088E-4</v>
      </c>
    </row>
    <row r="38" spans="1:20" x14ac:dyDescent="0.35">
      <c r="A38">
        <v>0.19</v>
      </c>
      <c r="B38" t="s">
        <v>18</v>
      </c>
      <c r="C38" t="s">
        <v>9</v>
      </c>
      <c r="D38" t="s">
        <v>9</v>
      </c>
      <c r="E38" t="s">
        <v>9</v>
      </c>
      <c r="F38" t="s">
        <v>14</v>
      </c>
      <c r="G38" t="s">
        <v>17</v>
      </c>
      <c r="L38" t="s">
        <v>46</v>
      </c>
      <c r="M38" t="s">
        <v>9</v>
      </c>
      <c r="N38">
        <f t="shared" si="2"/>
        <v>4.2</v>
      </c>
      <c r="O38" s="9">
        <f t="shared" si="3"/>
        <v>2.1492397535429281E-2</v>
      </c>
      <c r="P38" s="9">
        <f t="shared" si="0"/>
        <v>2.8889785561798619E-2</v>
      </c>
      <c r="Q38" s="9">
        <f t="shared" si="4"/>
        <v>0.10295160536603414</v>
      </c>
      <c r="R38" s="9">
        <f t="shared" si="5"/>
        <v>0.5</v>
      </c>
      <c r="S38" s="9">
        <f t="shared" si="6"/>
        <v>0.30644081170661819</v>
      </c>
      <c r="T38" s="9">
        <f t="shared" si="7"/>
        <v>1.1995456677736938E-3</v>
      </c>
    </row>
    <row r="39" spans="1:20" x14ac:dyDescent="0.35">
      <c r="A39">
        <v>0.2</v>
      </c>
      <c r="B39" t="s">
        <v>18</v>
      </c>
      <c r="C39" t="s">
        <v>9</v>
      </c>
      <c r="D39" t="s">
        <v>9</v>
      </c>
      <c r="E39" t="s">
        <v>9</v>
      </c>
      <c r="F39" t="s">
        <v>14</v>
      </c>
      <c r="G39" t="s">
        <v>17</v>
      </c>
      <c r="L39" t="s">
        <v>46</v>
      </c>
      <c r="M39" t="s">
        <v>14</v>
      </c>
      <c r="N39">
        <f t="shared" si="2"/>
        <v>0</v>
      </c>
      <c r="O39" s="9">
        <f t="shared" si="3"/>
        <v>0</v>
      </c>
      <c r="P39" s="9">
        <f t="shared" si="0"/>
        <v>0</v>
      </c>
      <c r="Q39" s="9">
        <f t="shared" si="4"/>
        <v>0</v>
      </c>
      <c r="R39" s="9">
        <f t="shared" si="5"/>
        <v>0</v>
      </c>
      <c r="S39" s="9">
        <f t="shared" si="6"/>
        <v>0</v>
      </c>
      <c r="T39" s="9">
        <f t="shared" si="7"/>
        <v>0</v>
      </c>
    </row>
    <row r="40" spans="1:20" x14ac:dyDescent="0.35">
      <c r="A40">
        <v>0.21</v>
      </c>
      <c r="B40" t="s">
        <v>18</v>
      </c>
      <c r="C40" t="s">
        <v>9</v>
      </c>
      <c r="D40" t="s">
        <v>9</v>
      </c>
      <c r="E40" t="s">
        <v>9</v>
      </c>
      <c r="F40" t="s">
        <v>14</v>
      </c>
      <c r="G40" t="s">
        <v>17</v>
      </c>
      <c r="L40" t="s">
        <v>46</v>
      </c>
      <c r="M40" t="s">
        <v>17</v>
      </c>
      <c r="N40">
        <f t="shared" si="2"/>
        <v>0</v>
      </c>
      <c r="O40" s="9">
        <f t="shared" si="3"/>
        <v>0</v>
      </c>
      <c r="P40" s="9">
        <f t="shared" si="0"/>
        <v>0</v>
      </c>
      <c r="Q40" s="9">
        <f t="shared" si="4"/>
        <v>0</v>
      </c>
      <c r="R40" s="9">
        <f t="shared" si="5"/>
        <v>0</v>
      </c>
      <c r="S40" s="9">
        <f t="shared" si="6"/>
        <v>0</v>
      </c>
      <c r="T40" s="9">
        <f t="shared" si="7"/>
        <v>0</v>
      </c>
    </row>
    <row r="41" spans="1:20" x14ac:dyDescent="0.35">
      <c r="A41">
        <v>0.22</v>
      </c>
      <c r="B41" t="s">
        <v>18</v>
      </c>
      <c r="C41" t="s">
        <v>9</v>
      </c>
      <c r="D41" t="s">
        <v>9</v>
      </c>
      <c r="E41" t="s">
        <v>9</v>
      </c>
      <c r="F41" t="s">
        <v>14</v>
      </c>
      <c r="G41" t="s">
        <v>17</v>
      </c>
      <c r="L41" t="s">
        <v>46</v>
      </c>
      <c r="M41" t="s">
        <v>16</v>
      </c>
      <c r="N41">
        <f t="shared" si="2"/>
        <v>0</v>
      </c>
      <c r="O41" s="9">
        <f t="shared" si="3"/>
        <v>0</v>
      </c>
      <c r="P41" s="9">
        <f t="shared" si="0"/>
        <v>0</v>
      </c>
      <c r="Q41" s="9">
        <f t="shared" si="4"/>
        <v>0</v>
      </c>
      <c r="R41" s="9">
        <f t="shared" si="5"/>
        <v>0</v>
      </c>
      <c r="S41" s="9">
        <f t="shared" si="6"/>
        <v>0</v>
      </c>
      <c r="T41" s="9">
        <f t="shared" si="7"/>
        <v>0</v>
      </c>
    </row>
    <row r="42" spans="1:20" x14ac:dyDescent="0.35">
      <c r="A42">
        <v>0.23</v>
      </c>
      <c r="B42" t="s">
        <v>18</v>
      </c>
      <c r="C42" t="s">
        <v>9</v>
      </c>
      <c r="D42" t="s">
        <v>9</v>
      </c>
      <c r="E42" t="s">
        <v>9</v>
      </c>
      <c r="F42" t="s">
        <v>14</v>
      </c>
      <c r="G42" t="s">
        <v>17</v>
      </c>
      <c r="L42" t="s">
        <v>46</v>
      </c>
      <c r="M42" t="s">
        <v>15</v>
      </c>
      <c r="N42">
        <f t="shared" si="2"/>
        <v>0</v>
      </c>
      <c r="O42" s="9">
        <f t="shared" si="3"/>
        <v>0</v>
      </c>
      <c r="P42" s="9">
        <f t="shared" si="0"/>
        <v>0</v>
      </c>
      <c r="Q42" s="9">
        <f t="shared" si="4"/>
        <v>0</v>
      </c>
      <c r="R42" s="9">
        <f t="shared" si="5"/>
        <v>0</v>
      </c>
      <c r="S42" s="9">
        <f t="shared" si="6"/>
        <v>0</v>
      </c>
      <c r="T42" s="9">
        <f t="shared" si="7"/>
        <v>0</v>
      </c>
    </row>
    <row r="43" spans="1:20" x14ac:dyDescent="0.35">
      <c r="A43">
        <v>0.24</v>
      </c>
      <c r="B43" t="s">
        <v>18</v>
      </c>
      <c r="C43" t="s">
        <v>9</v>
      </c>
      <c r="D43" t="s">
        <v>9</v>
      </c>
      <c r="E43" t="s">
        <v>9</v>
      </c>
      <c r="F43" t="s">
        <v>14</v>
      </c>
      <c r="G43" t="s">
        <v>17</v>
      </c>
      <c r="L43" t="s">
        <v>46</v>
      </c>
      <c r="M43" t="s">
        <v>48</v>
      </c>
      <c r="N43">
        <f t="shared" si="2"/>
        <v>1.7999999999999998</v>
      </c>
      <c r="O43" s="9">
        <f t="shared" si="3"/>
        <v>0.30644081170661824</v>
      </c>
      <c r="P43" s="9">
        <f t="shared" si="0"/>
        <v>0.12747258215866061</v>
      </c>
      <c r="Q43" s="9">
        <f t="shared" si="4"/>
        <v>0.12747258215866061</v>
      </c>
      <c r="R43" s="9">
        <f t="shared" si="5"/>
        <v>0.5</v>
      </c>
      <c r="S43" s="9">
        <f t="shared" si="6"/>
        <v>2.1492397535429308E-2</v>
      </c>
      <c r="T43" s="9">
        <f t="shared" si="7"/>
        <v>2.6357783732278151E-6</v>
      </c>
    </row>
    <row r="44" spans="1:20" x14ac:dyDescent="0.35">
      <c r="A44">
        <v>0.25</v>
      </c>
      <c r="B44" t="s">
        <v>18</v>
      </c>
      <c r="C44" t="s">
        <v>9</v>
      </c>
      <c r="D44" t="s">
        <v>9</v>
      </c>
      <c r="E44" t="s">
        <v>9</v>
      </c>
      <c r="F44" t="s">
        <v>14</v>
      </c>
      <c r="G44" t="s">
        <v>17</v>
      </c>
    </row>
    <row r="45" spans="1:20" x14ac:dyDescent="0.35">
      <c r="A45">
        <v>0.26</v>
      </c>
      <c r="B45" t="s">
        <v>18</v>
      </c>
      <c r="C45" t="s">
        <v>9</v>
      </c>
      <c r="D45" t="s">
        <v>9</v>
      </c>
      <c r="E45" t="s">
        <v>9</v>
      </c>
      <c r="F45" t="s">
        <v>14</v>
      </c>
      <c r="G45" t="s">
        <v>16</v>
      </c>
    </row>
    <row r="46" spans="1:20" x14ac:dyDescent="0.35">
      <c r="A46">
        <v>0.27</v>
      </c>
      <c r="B46" t="s">
        <v>18</v>
      </c>
      <c r="C46" t="s">
        <v>9</v>
      </c>
      <c r="D46" t="s">
        <v>9</v>
      </c>
      <c r="E46" t="s">
        <v>9</v>
      </c>
      <c r="F46" t="s">
        <v>14</v>
      </c>
      <c r="G46" t="s">
        <v>16</v>
      </c>
    </row>
    <row r="47" spans="1:20" x14ac:dyDescent="0.35">
      <c r="A47">
        <v>0.28000000000000003</v>
      </c>
      <c r="B47" t="s">
        <v>18</v>
      </c>
      <c r="C47" t="s">
        <v>9</v>
      </c>
      <c r="D47" t="s">
        <v>9</v>
      </c>
      <c r="E47" t="s">
        <v>14</v>
      </c>
      <c r="F47" t="s">
        <v>14</v>
      </c>
      <c r="G47" t="s">
        <v>16</v>
      </c>
    </row>
    <row r="48" spans="1:20" x14ac:dyDescent="0.35">
      <c r="A48">
        <v>0.28999999999999998</v>
      </c>
      <c r="B48" t="s">
        <v>18</v>
      </c>
      <c r="C48" t="s">
        <v>9</v>
      </c>
      <c r="D48" t="s">
        <v>9</v>
      </c>
      <c r="E48" t="s">
        <v>14</v>
      </c>
      <c r="F48" t="s">
        <v>14</v>
      </c>
      <c r="G48" t="s">
        <v>16</v>
      </c>
    </row>
    <row r="49" spans="1:7" x14ac:dyDescent="0.35">
      <c r="A49">
        <v>0.3</v>
      </c>
      <c r="B49" t="s">
        <v>18</v>
      </c>
      <c r="C49" t="s">
        <v>9</v>
      </c>
      <c r="D49" t="s">
        <v>9</v>
      </c>
      <c r="E49" t="s">
        <v>14</v>
      </c>
      <c r="F49" t="s">
        <v>14</v>
      </c>
      <c r="G49" t="s">
        <v>16</v>
      </c>
    </row>
    <row r="50" spans="1:7" x14ac:dyDescent="0.35">
      <c r="A50">
        <v>0.31</v>
      </c>
      <c r="B50" t="s">
        <v>18</v>
      </c>
      <c r="C50" t="s">
        <v>9</v>
      </c>
      <c r="D50" t="s">
        <v>9</v>
      </c>
      <c r="E50" t="s">
        <v>14</v>
      </c>
      <c r="F50" t="s">
        <v>14</v>
      </c>
      <c r="G50" t="s">
        <v>16</v>
      </c>
    </row>
    <row r="51" spans="1:7" x14ac:dyDescent="0.35">
      <c r="A51">
        <v>0.32</v>
      </c>
      <c r="B51" t="s">
        <v>18</v>
      </c>
      <c r="C51" t="s">
        <v>9</v>
      </c>
      <c r="D51" t="s">
        <v>14</v>
      </c>
      <c r="E51" t="s">
        <v>14</v>
      </c>
      <c r="F51" t="s">
        <v>14</v>
      </c>
      <c r="G51" t="s">
        <v>16</v>
      </c>
    </row>
    <row r="52" spans="1:7" x14ac:dyDescent="0.35">
      <c r="A52">
        <v>0.33</v>
      </c>
      <c r="B52" t="s">
        <v>18</v>
      </c>
      <c r="C52" t="s">
        <v>9</v>
      </c>
      <c r="D52" t="s">
        <v>14</v>
      </c>
      <c r="E52" t="s">
        <v>14</v>
      </c>
      <c r="F52" t="s">
        <v>14</v>
      </c>
      <c r="G52" t="s">
        <v>16</v>
      </c>
    </row>
    <row r="53" spans="1:7" x14ac:dyDescent="0.35">
      <c r="A53">
        <v>0.34</v>
      </c>
      <c r="B53" t="s">
        <v>18</v>
      </c>
      <c r="C53" t="s">
        <v>9</v>
      </c>
      <c r="D53" t="s">
        <v>14</v>
      </c>
      <c r="E53" t="s">
        <v>14</v>
      </c>
      <c r="F53" t="s">
        <v>14</v>
      </c>
      <c r="G53" t="s">
        <v>16</v>
      </c>
    </row>
    <row r="54" spans="1:7" x14ac:dyDescent="0.35">
      <c r="A54">
        <v>0.35</v>
      </c>
      <c r="B54" t="s">
        <v>18</v>
      </c>
      <c r="C54" t="s">
        <v>9</v>
      </c>
      <c r="D54" t="s">
        <v>14</v>
      </c>
      <c r="E54" t="s">
        <v>14</v>
      </c>
      <c r="F54" t="s">
        <v>17</v>
      </c>
      <c r="G54" t="s">
        <v>16</v>
      </c>
    </row>
    <row r="55" spans="1:7" x14ac:dyDescent="0.35">
      <c r="A55">
        <v>0.36</v>
      </c>
      <c r="B55" t="s">
        <v>18</v>
      </c>
      <c r="C55" t="s">
        <v>9</v>
      </c>
      <c r="D55" t="s">
        <v>14</v>
      </c>
      <c r="E55" t="s">
        <v>14</v>
      </c>
      <c r="F55" t="s">
        <v>17</v>
      </c>
      <c r="G55" t="s">
        <v>16</v>
      </c>
    </row>
    <row r="56" spans="1:7" x14ac:dyDescent="0.35">
      <c r="A56">
        <v>0.37</v>
      </c>
      <c r="B56" t="s">
        <v>18</v>
      </c>
      <c r="C56" t="s">
        <v>14</v>
      </c>
      <c r="D56" t="s">
        <v>14</v>
      </c>
      <c r="E56" t="s">
        <v>14</v>
      </c>
      <c r="F56" t="s">
        <v>17</v>
      </c>
      <c r="G56" t="s">
        <v>16</v>
      </c>
    </row>
    <row r="57" spans="1:7" x14ac:dyDescent="0.35">
      <c r="A57">
        <v>0.38</v>
      </c>
      <c r="B57" t="s">
        <v>18</v>
      </c>
      <c r="C57" t="s">
        <v>14</v>
      </c>
      <c r="D57" t="s">
        <v>14</v>
      </c>
      <c r="E57" t="s">
        <v>14</v>
      </c>
      <c r="F57" t="s">
        <v>17</v>
      </c>
      <c r="G57" t="s">
        <v>16</v>
      </c>
    </row>
    <row r="58" spans="1:7" x14ac:dyDescent="0.35">
      <c r="A58">
        <v>0.39</v>
      </c>
      <c r="B58" t="s">
        <v>18</v>
      </c>
      <c r="C58" t="s">
        <v>14</v>
      </c>
      <c r="D58" t="s">
        <v>14</v>
      </c>
      <c r="E58" t="s">
        <v>14</v>
      </c>
      <c r="F58" t="s">
        <v>17</v>
      </c>
      <c r="G58" t="s">
        <v>16</v>
      </c>
    </row>
    <row r="59" spans="1:7" x14ac:dyDescent="0.35">
      <c r="A59">
        <v>0.4</v>
      </c>
      <c r="B59" t="s">
        <v>9</v>
      </c>
      <c r="C59" t="s">
        <v>14</v>
      </c>
      <c r="D59" t="s">
        <v>14</v>
      </c>
      <c r="E59" t="s">
        <v>14</v>
      </c>
      <c r="F59" t="s">
        <v>17</v>
      </c>
      <c r="G59" t="s">
        <v>16</v>
      </c>
    </row>
    <row r="60" spans="1:7" x14ac:dyDescent="0.35">
      <c r="A60">
        <v>0.41</v>
      </c>
      <c r="B60" t="s">
        <v>9</v>
      </c>
      <c r="C60" t="s">
        <v>14</v>
      </c>
      <c r="D60" t="s">
        <v>14</v>
      </c>
      <c r="E60" t="s">
        <v>14</v>
      </c>
      <c r="F60" t="s">
        <v>17</v>
      </c>
      <c r="G60" t="s">
        <v>16</v>
      </c>
    </row>
    <row r="61" spans="1:7" x14ac:dyDescent="0.35">
      <c r="A61">
        <v>0.42</v>
      </c>
      <c r="B61" t="s">
        <v>9</v>
      </c>
      <c r="C61" t="s">
        <v>14</v>
      </c>
      <c r="D61" t="s">
        <v>14</v>
      </c>
      <c r="E61" t="s">
        <v>14</v>
      </c>
      <c r="F61" t="s">
        <v>17</v>
      </c>
      <c r="G61" t="s">
        <v>16</v>
      </c>
    </row>
    <row r="62" spans="1:7" x14ac:dyDescent="0.35">
      <c r="A62">
        <v>0.43</v>
      </c>
      <c r="B62" t="s">
        <v>9</v>
      </c>
      <c r="C62" t="s">
        <v>14</v>
      </c>
      <c r="D62" t="s">
        <v>14</v>
      </c>
      <c r="E62" t="s">
        <v>14</v>
      </c>
      <c r="F62" t="s">
        <v>17</v>
      </c>
      <c r="G62" t="s">
        <v>16</v>
      </c>
    </row>
    <row r="63" spans="1:7" x14ac:dyDescent="0.35">
      <c r="A63">
        <v>0.44</v>
      </c>
      <c r="B63" t="s">
        <v>9</v>
      </c>
      <c r="C63" t="s">
        <v>14</v>
      </c>
      <c r="D63" t="s">
        <v>14</v>
      </c>
      <c r="E63" t="s">
        <v>14</v>
      </c>
      <c r="F63" t="s">
        <v>17</v>
      </c>
      <c r="G63" t="s">
        <v>16</v>
      </c>
    </row>
    <row r="64" spans="1:7" x14ac:dyDescent="0.35">
      <c r="A64">
        <v>0.45</v>
      </c>
      <c r="B64" t="s">
        <v>9</v>
      </c>
      <c r="C64" t="s">
        <v>14</v>
      </c>
      <c r="D64" t="s">
        <v>14</v>
      </c>
      <c r="E64" t="s">
        <v>14</v>
      </c>
      <c r="F64" t="s">
        <v>17</v>
      </c>
      <c r="G64" t="s">
        <v>16</v>
      </c>
    </row>
    <row r="65" spans="1:7" x14ac:dyDescent="0.35">
      <c r="A65">
        <v>0.46</v>
      </c>
      <c r="B65" t="s">
        <v>9</v>
      </c>
      <c r="C65" t="s">
        <v>14</v>
      </c>
      <c r="D65" t="s">
        <v>14</v>
      </c>
      <c r="E65" t="s">
        <v>14</v>
      </c>
      <c r="F65" t="s">
        <v>17</v>
      </c>
      <c r="G65" t="s">
        <v>16</v>
      </c>
    </row>
    <row r="66" spans="1:7" x14ac:dyDescent="0.35">
      <c r="A66">
        <v>0.47</v>
      </c>
      <c r="B66" t="s">
        <v>9</v>
      </c>
      <c r="C66" t="s">
        <v>14</v>
      </c>
      <c r="D66" t="s">
        <v>14</v>
      </c>
      <c r="E66" t="s">
        <v>14</v>
      </c>
      <c r="F66" t="s">
        <v>17</v>
      </c>
      <c r="G66" t="s">
        <v>16</v>
      </c>
    </row>
    <row r="67" spans="1:7" x14ac:dyDescent="0.35">
      <c r="A67">
        <v>0.48</v>
      </c>
      <c r="B67" t="s">
        <v>9</v>
      </c>
      <c r="C67" t="s">
        <v>14</v>
      </c>
      <c r="D67" t="s">
        <v>14</v>
      </c>
      <c r="E67" t="s">
        <v>14</v>
      </c>
      <c r="F67" t="s">
        <v>17</v>
      </c>
      <c r="G67" t="s">
        <v>16</v>
      </c>
    </row>
    <row r="68" spans="1:7" x14ac:dyDescent="0.35">
      <c r="A68">
        <v>0.49</v>
      </c>
      <c r="B68" t="s">
        <v>9</v>
      </c>
      <c r="C68" t="s">
        <v>14</v>
      </c>
      <c r="D68" t="s">
        <v>14</v>
      </c>
      <c r="E68" t="s">
        <v>14</v>
      </c>
      <c r="F68" t="s">
        <v>17</v>
      </c>
      <c r="G68" t="s">
        <v>16</v>
      </c>
    </row>
    <row r="69" spans="1:7" x14ac:dyDescent="0.35">
      <c r="A69">
        <v>0.5</v>
      </c>
      <c r="B69" t="s">
        <v>9</v>
      </c>
      <c r="C69" t="s">
        <v>14</v>
      </c>
      <c r="D69" t="s">
        <v>17</v>
      </c>
      <c r="E69" t="s">
        <v>14</v>
      </c>
      <c r="F69" t="s">
        <v>17</v>
      </c>
      <c r="G69" t="s">
        <v>16</v>
      </c>
    </row>
    <row r="70" spans="1:7" x14ac:dyDescent="0.35">
      <c r="A70">
        <v>0.51</v>
      </c>
      <c r="B70" t="s">
        <v>9</v>
      </c>
      <c r="C70" t="s">
        <v>14</v>
      </c>
      <c r="D70" t="s">
        <v>17</v>
      </c>
      <c r="E70" t="s">
        <v>14</v>
      </c>
      <c r="F70" t="s">
        <v>17</v>
      </c>
      <c r="G70" t="s">
        <v>16</v>
      </c>
    </row>
    <row r="71" spans="1:7" x14ac:dyDescent="0.35">
      <c r="A71">
        <v>0.52</v>
      </c>
      <c r="B71" t="s">
        <v>9</v>
      </c>
      <c r="C71" t="s">
        <v>14</v>
      </c>
      <c r="D71" t="s">
        <v>17</v>
      </c>
      <c r="E71" t="s">
        <v>14</v>
      </c>
      <c r="F71" t="s">
        <v>17</v>
      </c>
      <c r="G71" t="s">
        <v>15</v>
      </c>
    </row>
    <row r="72" spans="1:7" x14ac:dyDescent="0.35">
      <c r="A72">
        <v>0.53</v>
      </c>
      <c r="B72" t="s">
        <v>9</v>
      </c>
      <c r="C72" t="s">
        <v>14</v>
      </c>
      <c r="D72" t="s">
        <v>17</v>
      </c>
      <c r="E72" t="s">
        <v>14</v>
      </c>
      <c r="F72" t="s">
        <v>17</v>
      </c>
      <c r="G72" t="s">
        <v>15</v>
      </c>
    </row>
    <row r="73" spans="1:7" x14ac:dyDescent="0.35">
      <c r="A73">
        <v>0.54</v>
      </c>
      <c r="B73" t="s">
        <v>9</v>
      </c>
      <c r="C73" t="s">
        <v>14</v>
      </c>
      <c r="D73" t="s">
        <v>17</v>
      </c>
      <c r="E73" t="s">
        <v>14</v>
      </c>
      <c r="F73" t="s">
        <v>17</v>
      </c>
      <c r="G73" t="s">
        <v>15</v>
      </c>
    </row>
    <row r="74" spans="1:7" x14ac:dyDescent="0.35">
      <c r="A74">
        <v>0.55000000000000004</v>
      </c>
      <c r="B74" t="s">
        <v>9</v>
      </c>
      <c r="C74" t="s">
        <v>14</v>
      </c>
      <c r="D74" t="s">
        <v>17</v>
      </c>
      <c r="E74" t="s">
        <v>14</v>
      </c>
      <c r="F74" t="s">
        <v>17</v>
      </c>
      <c r="G74" t="s">
        <v>15</v>
      </c>
    </row>
    <row r="75" spans="1:7" x14ac:dyDescent="0.35">
      <c r="A75">
        <v>0.56000000000000005</v>
      </c>
      <c r="B75" t="s">
        <v>9</v>
      </c>
      <c r="C75" t="s">
        <v>14</v>
      </c>
      <c r="D75" t="s">
        <v>17</v>
      </c>
      <c r="E75" t="s">
        <v>14</v>
      </c>
      <c r="F75" t="s">
        <v>17</v>
      </c>
      <c r="G75" t="s">
        <v>15</v>
      </c>
    </row>
    <row r="76" spans="1:7" x14ac:dyDescent="0.35">
      <c r="A76">
        <v>0.56999999999999995</v>
      </c>
      <c r="B76" t="s">
        <v>9</v>
      </c>
      <c r="C76" t="s">
        <v>14</v>
      </c>
      <c r="D76" t="s">
        <v>17</v>
      </c>
      <c r="E76" t="s">
        <v>14</v>
      </c>
      <c r="F76" t="s">
        <v>17</v>
      </c>
      <c r="G76" t="s">
        <v>15</v>
      </c>
    </row>
    <row r="77" spans="1:7" x14ac:dyDescent="0.35">
      <c r="A77">
        <v>0.57999999999999996</v>
      </c>
      <c r="B77" t="s">
        <v>9</v>
      </c>
      <c r="C77" t="s">
        <v>14</v>
      </c>
      <c r="D77" t="s">
        <v>17</v>
      </c>
      <c r="E77" t="s">
        <v>14</v>
      </c>
      <c r="F77" t="s">
        <v>17</v>
      </c>
      <c r="G77" t="s">
        <v>15</v>
      </c>
    </row>
    <row r="78" spans="1:7" x14ac:dyDescent="0.35">
      <c r="A78">
        <v>0.59</v>
      </c>
      <c r="B78" t="s">
        <v>9</v>
      </c>
      <c r="C78" t="s">
        <v>14</v>
      </c>
      <c r="D78" t="s">
        <v>17</v>
      </c>
      <c r="E78" t="s">
        <v>14</v>
      </c>
      <c r="F78" t="s">
        <v>17</v>
      </c>
      <c r="G78" t="s">
        <v>15</v>
      </c>
    </row>
    <row r="79" spans="1:7" x14ac:dyDescent="0.35">
      <c r="A79">
        <v>0.6</v>
      </c>
      <c r="B79" t="s">
        <v>9</v>
      </c>
      <c r="C79" t="s">
        <v>14</v>
      </c>
      <c r="D79" t="s">
        <v>17</v>
      </c>
      <c r="E79" t="s">
        <v>14</v>
      </c>
      <c r="F79" t="s">
        <v>17</v>
      </c>
      <c r="G79" t="s">
        <v>15</v>
      </c>
    </row>
    <row r="80" spans="1:7" x14ac:dyDescent="0.35">
      <c r="A80">
        <v>0.61</v>
      </c>
      <c r="B80" t="s">
        <v>9</v>
      </c>
      <c r="C80" t="s">
        <v>14</v>
      </c>
      <c r="D80" t="s">
        <v>17</v>
      </c>
      <c r="E80" t="s">
        <v>14</v>
      </c>
      <c r="F80" t="s">
        <v>17</v>
      </c>
      <c r="G80" t="s">
        <v>15</v>
      </c>
    </row>
    <row r="81" spans="1:7" x14ac:dyDescent="0.35">
      <c r="A81">
        <v>0.62</v>
      </c>
      <c r="B81" t="s">
        <v>9</v>
      </c>
      <c r="C81" t="s">
        <v>14</v>
      </c>
      <c r="D81" t="s">
        <v>17</v>
      </c>
      <c r="E81" t="s">
        <v>14</v>
      </c>
      <c r="F81" t="s">
        <v>17</v>
      </c>
      <c r="G81" t="s">
        <v>15</v>
      </c>
    </row>
    <row r="82" spans="1:7" x14ac:dyDescent="0.35">
      <c r="A82">
        <v>0.63</v>
      </c>
      <c r="B82" t="s">
        <v>9</v>
      </c>
      <c r="C82" t="s">
        <v>14</v>
      </c>
      <c r="D82" t="s">
        <v>17</v>
      </c>
      <c r="E82" t="s">
        <v>14</v>
      </c>
      <c r="F82" t="s">
        <v>17</v>
      </c>
      <c r="G82" t="s">
        <v>15</v>
      </c>
    </row>
    <row r="83" spans="1:7" x14ac:dyDescent="0.35">
      <c r="A83">
        <v>0.64</v>
      </c>
      <c r="B83" t="s">
        <v>9</v>
      </c>
      <c r="C83" t="s">
        <v>16</v>
      </c>
      <c r="D83" t="s">
        <v>17</v>
      </c>
      <c r="E83" t="s">
        <v>14</v>
      </c>
      <c r="F83" t="s">
        <v>17</v>
      </c>
      <c r="G83" t="s">
        <v>15</v>
      </c>
    </row>
    <row r="84" spans="1:7" x14ac:dyDescent="0.35">
      <c r="A84">
        <v>0.65</v>
      </c>
      <c r="B84" t="s">
        <v>9</v>
      </c>
      <c r="C84" t="s">
        <v>16</v>
      </c>
      <c r="D84" t="s">
        <v>17</v>
      </c>
      <c r="E84" t="s">
        <v>14</v>
      </c>
      <c r="F84" t="s">
        <v>17</v>
      </c>
      <c r="G84" t="s">
        <v>15</v>
      </c>
    </row>
    <row r="85" spans="1:7" x14ac:dyDescent="0.35">
      <c r="A85">
        <v>0.66</v>
      </c>
      <c r="B85" t="s">
        <v>9</v>
      </c>
      <c r="C85" t="s">
        <v>16</v>
      </c>
      <c r="D85" t="s">
        <v>17</v>
      </c>
      <c r="E85" t="s">
        <v>14</v>
      </c>
      <c r="F85" t="s">
        <v>17</v>
      </c>
      <c r="G85" t="s">
        <v>15</v>
      </c>
    </row>
    <row r="86" spans="1:7" x14ac:dyDescent="0.35">
      <c r="A86">
        <v>0.67</v>
      </c>
      <c r="B86" t="s">
        <v>9</v>
      </c>
      <c r="C86" t="s">
        <v>16</v>
      </c>
      <c r="D86" t="s">
        <v>17</v>
      </c>
      <c r="E86" t="s">
        <v>16</v>
      </c>
      <c r="F86" t="s">
        <v>17</v>
      </c>
      <c r="G86" t="s">
        <v>15</v>
      </c>
    </row>
    <row r="87" spans="1:7" x14ac:dyDescent="0.35">
      <c r="A87">
        <v>0.68</v>
      </c>
      <c r="B87" t="s">
        <v>9</v>
      </c>
      <c r="C87" t="s">
        <v>16</v>
      </c>
      <c r="D87" t="s">
        <v>17</v>
      </c>
      <c r="E87" t="s">
        <v>16</v>
      </c>
      <c r="F87" t="s">
        <v>17</v>
      </c>
      <c r="G87" t="s">
        <v>15</v>
      </c>
    </row>
    <row r="88" spans="1:7" x14ac:dyDescent="0.35">
      <c r="A88">
        <v>0.69</v>
      </c>
      <c r="B88" t="s">
        <v>9</v>
      </c>
      <c r="C88" t="s">
        <v>16</v>
      </c>
      <c r="D88" t="s">
        <v>17</v>
      </c>
      <c r="E88" t="s">
        <v>16</v>
      </c>
      <c r="F88" t="s">
        <v>16</v>
      </c>
      <c r="G88" t="s">
        <v>15</v>
      </c>
    </row>
    <row r="89" spans="1:7" x14ac:dyDescent="0.35">
      <c r="A89">
        <v>0.7</v>
      </c>
      <c r="B89" t="s">
        <v>9</v>
      </c>
      <c r="C89" t="s">
        <v>16</v>
      </c>
      <c r="D89" t="s">
        <v>17</v>
      </c>
      <c r="E89" t="s">
        <v>16</v>
      </c>
      <c r="F89" t="s">
        <v>16</v>
      </c>
      <c r="G89" t="s">
        <v>15</v>
      </c>
    </row>
    <row r="90" spans="1:7" x14ac:dyDescent="0.35">
      <c r="A90">
        <v>0.71</v>
      </c>
      <c r="B90" t="s">
        <v>9</v>
      </c>
      <c r="C90" t="s">
        <v>16</v>
      </c>
      <c r="D90" t="s">
        <v>17</v>
      </c>
      <c r="E90" t="s">
        <v>16</v>
      </c>
      <c r="F90" t="s">
        <v>16</v>
      </c>
      <c r="G90" t="s">
        <v>15</v>
      </c>
    </row>
    <row r="91" spans="1:7" x14ac:dyDescent="0.35">
      <c r="A91">
        <v>0.72</v>
      </c>
      <c r="B91" t="s">
        <v>9</v>
      </c>
      <c r="C91" t="s">
        <v>16</v>
      </c>
      <c r="D91" t="s">
        <v>17</v>
      </c>
      <c r="E91" t="s">
        <v>16</v>
      </c>
      <c r="F91" t="s">
        <v>16</v>
      </c>
      <c r="G91" t="s">
        <v>15</v>
      </c>
    </row>
    <row r="92" spans="1:7" x14ac:dyDescent="0.35">
      <c r="A92">
        <v>0.73</v>
      </c>
      <c r="B92" t="s">
        <v>9</v>
      </c>
      <c r="C92" t="s">
        <v>16</v>
      </c>
      <c r="D92" t="s">
        <v>16</v>
      </c>
      <c r="E92" t="s">
        <v>16</v>
      </c>
      <c r="F92" t="s">
        <v>16</v>
      </c>
      <c r="G92" t="s">
        <v>15</v>
      </c>
    </row>
    <row r="93" spans="1:7" x14ac:dyDescent="0.35">
      <c r="A93">
        <v>0.74</v>
      </c>
      <c r="B93" t="s">
        <v>9</v>
      </c>
      <c r="C93" t="s">
        <v>16</v>
      </c>
      <c r="D93" t="s">
        <v>16</v>
      </c>
      <c r="E93" t="s">
        <v>16</v>
      </c>
      <c r="F93" t="s">
        <v>16</v>
      </c>
      <c r="G93" t="s">
        <v>15</v>
      </c>
    </row>
    <row r="94" spans="1:7" x14ac:dyDescent="0.35">
      <c r="A94">
        <v>0.75</v>
      </c>
      <c r="B94" t="s">
        <v>9</v>
      </c>
      <c r="C94" t="s">
        <v>16</v>
      </c>
      <c r="D94" t="s">
        <v>16</v>
      </c>
      <c r="E94" t="s">
        <v>16</v>
      </c>
      <c r="F94" t="s">
        <v>16</v>
      </c>
      <c r="G94" t="s">
        <v>15</v>
      </c>
    </row>
    <row r="95" spans="1:7" x14ac:dyDescent="0.35">
      <c r="A95">
        <v>0.76</v>
      </c>
      <c r="B95" t="s">
        <v>9</v>
      </c>
      <c r="C95" t="s">
        <v>16</v>
      </c>
      <c r="D95" t="s">
        <v>16</v>
      </c>
      <c r="E95" t="s">
        <v>16</v>
      </c>
      <c r="F95" t="s">
        <v>16</v>
      </c>
      <c r="G95" t="s">
        <v>15</v>
      </c>
    </row>
    <row r="96" spans="1:7" x14ac:dyDescent="0.35">
      <c r="A96">
        <v>0.77</v>
      </c>
      <c r="B96" t="s">
        <v>9</v>
      </c>
      <c r="C96" t="s">
        <v>16</v>
      </c>
      <c r="D96" t="s">
        <v>16</v>
      </c>
      <c r="E96" t="s">
        <v>16</v>
      </c>
      <c r="F96" t="s">
        <v>16</v>
      </c>
      <c r="G96" t="s">
        <v>15</v>
      </c>
    </row>
    <row r="97" spans="1:7" x14ac:dyDescent="0.35">
      <c r="A97">
        <v>0.78</v>
      </c>
      <c r="B97" t="s">
        <v>9</v>
      </c>
      <c r="C97" t="s">
        <v>16</v>
      </c>
      <c r="D97" t="s">
        <v>16</v>
      </c>
      <c r="E97" t="s">
        <v>16</v>
      </c>
      <c r="F97" t="s">
        <v>16</v>
      </c>
      <c r="G97" t="s">
        <v>15</v>
      </c>
    </row>
    <row r="98" spans="1:7" x14ac:dyDescent="0.35">
      <c r="A98">
        <v>0.79</v>
      </c>
      <c r="B98" t="s">
        <v>9</v>
      </c>
      <c r="C98" t="s">
        <v>16</v>
      </c>
      <c r="D98" t="s">
        <v>16</v>
      </c>
      <c r="E98" t="s">
        <v>16</v>
      </c>
      <c r="F98" t="s">
        <v>16</v>
      </c>
      <c r="G98" t="s">
        <v>15</v>
      </c>
    </row>
    <row r="99" spans="1:7" x14ac:dyDescent="0.35">
      <c r="A99">
        <v>0.8</v>
      </c>
      <c r="B99" t="s">
        <v>9</v>
      </c>
      <c r="C99" t="s">
        <v>16</v>
      </c>
      <c r="D99" t="s">
        <v>16</v>
      </c>
      <c r="E99" t="s">
        <v>16</v>
      </c>
      <c r="F99" t="s">
        <v>16</v>
      </c>
      <c r="G99" t="s">
        <v>15</v>
      </c>
    </row>
    <row r="100" spans="1:7" x14ac:dyDescent="0.35">
      <c r="A100">
        <v>0.81</v>
      </c>
      <c r="B100" t="s">
        <v>9</v>
      </c>
      <c r="C100" t="s">
        <v>16</v>
      </c>
      <c r="D100" t="s">
        <v>16</v>
      </c>
      <c r="E100" t="s">
        <v>16</v>
      </c>
      <c r="F100" t="s">
        <v>16</v>
      </c>
      <c r="G100" t="s">
        <v>15</v>
      </c>
    </row>
    <row r="101" spans="1:7" x14ac:dyDescent="0.35">
      <c r="A101">
        <v>0.82</v>
      </c>
      <c r="B101" t="s">
        <v>48</v>
      </c>
      <c r="C101" t="s">
        <v>16</v>
      </c>
      <c r="D101" t="s">
        <v>16</v>
      </c>
      <c r="E101" t="s">
        <v>16</v>
      </c>
      <c r="F101" t="s">
        <v>16</v>
      </c>
      <c r="G101" t="s">
        <v>15</v>
      </c>
    </row>
    <row r="102" spans="1:7" x14ac:dyDescent="0.35">
      <c r="A102">
        <v>0.83</v>
      </c>
      <c r="B102" t="s">
        <v>48</v>
      </c>
      <c r="C102" t="s">
        <v>16</v>
      </c>
      <c r="D102" t="s">
        <v>16</v>
      </c>
      <c r="E102" t="s">
        <v>16</v>
      </c>
      <c r="F102" t="s">
        <v>16</v>
      </c>
      <c r="G102" t="s">
        <v>15</v>
      </c>
    </row>
    <row r="103" spans="1:7" x14ac:dyDescent="0.35">
      <c r="A103">
        <v>0.84</v>
      </c>
      <c r="B103" t="s">
        <v>48</v>
      </c>
      <c r="C103" t="s">
        <v>16</v>
      </c>
      <c r="D103" t="s">
        <v>16</v>
      </c>
      <c r="E103" t="s">
        <v>16</v>
      </c>
      <c r="F103" t="s">
        <v>16</v>
      </c>
      <c r="G103" t="s">
        <v>15</v>
      </c>
    </row>
    <row r="104" spans="1:7" x14ac:dyDescent="0.35">
      <c r="A104">
        <v>0.85</v>
      </c>
      <c r="B104" t="s">
        <v>48</v>
      </c>
      <c r="C104" t="s">
        <v>16</v>
      </c>
      <c r="D104" t="s">
        <v>16</v>
      </c>
      <c r="E104" t="s">
        <v>16</v>
      </c>
      <c r="F104" t="s">
        <v>16</v>
      </c>
      <c r="G104" t="s">
        <v>15</v>
      </c>
    </row>
    <row r="105" spans="1:7" x14ac:dyDescent="0.35">
      <c r="A105">
        <v>0.86</v>
      </c>
      <c r="B105" t="s">
        <v>48</v>
      </c>
      <c r="C105" t="s">
        <v>16</v>
      </c>
      <c r="D105" t="s">
        <v>16</v>
      </c>
      <c r="E105" t="s">
        <v>16</v>
      </c>
      <c r="F105" t="s">
        <v>16</v>
      </c>
      <c r="G105" t="s">
        <v>15</v>
      </c>
    </row>
    <row r="106" spans="1:7" x14ac:dyDescent="0.35">
      <c r="A106">
        <v>0.87</v>
      </c>
      <c r="B106" t="s">
        <v>48</v>
      </c>
      <c r="C106" t="s">
        <v>16</v>
      </c>
      <c r="D106" t="s">
        <v>16</v>
      </c>
      <c r="E106" t="s">
        <v>16</v>
      </c>
      <c r="F106" t="s">
        <v>16</v>
      </c>
      <c r="G106" t="s">
        <v>15</v>
      </c>
    </row>
    <row r="107" spans="1:7" x14ac:dyDescent="0.35">
      <c r="A107">
        <v>0.88</v>
      </c>
      <c r="B107" t="s">
        <v>48</v>
      </c>
      <c r="C107" t="s">
        <v>16</v>
      </c>
      <c r="D107" t="s">
        <v>16</v>
      </c>
      <c r="E107" t="s">
        <v>16</v>
      </c>
      <c r="F107" t="s">
        <v>16</v>
      </c>
      <c r="G107" t="s">
        <v>15</v>
      </c>
    </row>
    <row r="108" spans="1:7" x14ac:dyDescent="0.35">
      <c r="A108">
        <v>0.89</v>
      </c>
      <c r="B108" t="s">
        <v>48</v>
      </c>
      <c r="C108" t="s">
        <v>16</v>
      </c>
      <c r="D108" t="s">
        <v>16</v>
      </c>
      <c r="E108" t="s">
        <v>16</v>
      </c>
      <c r="F108" t="s">
        <v>16</v>
      </c>
      <c r="G108" t="s">
        <v>15</v>
      </c>
    </row>
    <row r="109" spans="1:7" x14ac:dyDescent="0.35">
      <c r="A109">
        <v>0.9</v>
      </c>
      <c r="B109" t="s">
        <v>48</v>
      </c>
      <c r="C109" t="s">
        <v>48</v>
      </c>
      <c r="D109" t="s">
        <v>48</v>
      </c>
      <c r="E109" t="s">
        <v>48</v>
      </c>
      <c r="F109" t="s">
        <v>48</v>
      </c>
      <c r="G109" t="s">
        <v>48</v>
      </c>
    </row>
    <row r="110" spans="1:7" x14ac:dyDescent="0.35">
      <c r="A110">
        <v>0.91</v>
      </c>
      <c r="B110" t="s">
        <v>48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</row>
    <row r="111" spans="1:7" x14ac:dyDescent="0.35">
      <c r="A111">
        <v>0.92</v>
      </c>
      <c r="B111" t="s">
        <v>48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</row>
    <row r="112" spans="1:7" x14ac:dyDescent="0.35">
      <c r="A112">
        <v>0.93</v>
      </c>
      <c r="B112" t="s">
        <v>48</v>
      </c>
      <c r="C112" t="s">
        <v>48</v>
      </c>
      <c r="D112" t="s">
        <v>48</v>
      </c>
      <c r="E112" t="s">
        <v>48</v>
      </c>
      <c r="F112" t="s">
        <v>48</v>
      </c>
      <c r="G112" t="s">
        <v>48</v>
      </c>
    </row>
    <row r="113" spans="1:7" x14ac:dyDescent="0.35">
      <c r="A113">
        <v>0.94</v>
      </c>
      <c r="B113" t="s">
        <v>48</v>
      </c>
      <c r="C113" t="s">
        <v>48</v>
      </c>
      <c r="D113" t="s">
        <v>48</v>
      </c>
      <c r="E113" t="s">
        <v>48</v>
      </c>
      <c r="F113" t="s">
        <v>48</v>
      </c>
      <c r="G113" t="s">
        <v>48</v>
      </c>
    </row>
    <row r="114" spans="1:7" x14ac:dyDescent="0.35">
      <c r="A114">
        <v>0.95</v>
      </c>
      <c r="B114" t="s">
        <v>48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</row>
    <row r="115" spans="1:7" x14ac:dyDescent="0.35">
      <c r="A115">
        <v>0.96</v>
      </c>
      <c r="B115" t="s">
        <v>48</v>
      </c>
      <c r="C115" t="s">
        <v>48</v>
      </c>
      <c r="D115" t="s">
        <v>48</v>
      </c>
      <c r="E115" t="s">
        <v>48</v>
      </c>
      <c r="F115" t="s">
        <v>48</v>
      </c>
      <c r="G115" t="s">
        <v>48</v>
      </c>
    </row>
    <row r="116" spans="1:7" x14ac:dyDescent="0.35">
      <c r="A116">
        <v>0.97</v>
      </c>
      <c r="B116" t="s">
        <v>48</v>
      </c>
      <c r="C116" t="s">
        <v>48</v>
      </c>
      <c r="D116" t="s">
        <v>48</v>
      </c>
      <c r="E116" t="s">
        <v>48</v>
      </c>
      <c r="F116" t="s">
        <v>48</v>
      </c>
      <c r="G116" t="s">
        <v>48</v>
      </c>
    </row>
    <row r="117" spans="1:7" x14ac:dyDescent="0.35">
      <c r="A117">
        <v>0.98</v>
      </c>
      <c r="B117" t="s">
        <v>48</v>
      </c>
      <c r="C117" t="s">
        <v>48</v>
      </c>
      <c r="D117" t="s">
        <v>48</v>
      </c>
      <c r="E117" t="s">
        <v>48</v>
      </c>
      <c r="F117" t="s">
        <v>48</v>
      </c>
      <c r="G117" t="s">
        <v>48</v>
      </c>
    </row>
    <row r="118" spans="1:7" x14ac:dyDescent="0.35">
      <c r="A118">
        <v>0.99</v>
      </c>
      <c r="B118" t="s">
        <v>48</v>
      </c>
      <c r="C118" t="s">
        <v>48</v>
      </c>
      <c r="D118" t="s">
        <v>48</v>
      </c>
      <c r="E118" t="s">
        <v>48</v>
      </c>
      <c r="F118" t="s">
        <v>48</v>
      </c>
      <c r="G1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Calculator</vt:lpstr>
      <vt:lpstr>Training Speed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Mikil</dc:creator>
  <cp:lastModifiedBy>Mikil Taylor</cp:lastModifiedBy>
  <dcterms:created xsi:type="dcterms:W3CDTF">2023-02-22T16:07:53Z</dcterms:created>
  <dcterms:modified xsi:type="dcterms:W3CDTF">2023-03-11T20:26:21Z</dcterms:modified>
</cp:coreProperties>
</file>