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Estudo avatim\"/>
    </mc:Choice>
  </mc:AlternateContent>
  <xr:revisionPtr revIDLastSave="0" documentId="13_ncr:1_{9BF58AEB-B196-49DF-95B6-1BB086532B35}" xr6:coauthVersionLast="47" xr6:coauthVersionMax="47" xr10:uidLastSave="{00000000-0000-0000-0000-000000000000}"/>
  <bookViews>
    <workbookView xWindow="6090" yWindow="450" windowWidth="21600" windowHeight="11295" xr2:uid="{B2FE6AF9-1EF0-48BA-A110-65E804CD8AF4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D58" i="1"/>
  <c r="C58" i="1"/>
  <c r="H51" i="1"/>
  <c r="M53" i="1"/>
  <c r="N53" i="1" s="1"/>
  <c r="L53" i="1"/>
  <c r="M50" i="1"/>
  <c r="N50" i="1" s="1"/>
  <c r="L50" i="1"/>
  <c r="M52" i="1"/>
  <c r="N52" i="1" s="1"/>
  <c r="L52" i="1"/>
  <c r="L51" i="1"/>
  <c r="E51" i="1"/>
  <c r="L49" i="1"/>
  <c r="M49" i="1" s="1"/>
  <c r="L48" i="1"/>
  <c r="M47" i="1"/>
  <c r="N47" i="1" s="1"/>
  <c r="L47" i="1"/>
  <c r="L46" i="1"/>
  <c r="L45" i="1"/>
  <c r="M45" i="1" s="1"/>
  <c r="M44" i="1"/>
  <c r="L44" i="1"/>
  <c r="M43" i="1"/>
  <c r="N43" i="1" s="1"/>
  <c r="L43" i="1"/>
  <c r="L42" i="1"/>
  <c r="N44" i="1" l="1"/>
  <c r="N49" i="1"/>
  <c r="M51" i="1"/>
  <c r="N51" i="1" s="1"/>
  <c r="M42" i="1"/>
  <c r="N42" i="1" s="1"/>
  <c r="N45" i="1"/>
  <c r="M48" i="1"/>
  <c r="N48" i="1" s="1"/>
  <c r="M46" i="1"/>
  <c r="N46" i="1" s="1"/>
  <c r="L31" i="1"/>
  <c r="M31" i="1" s="1"/>
  <c r="N31" i="1" s="1"/>
  <c r="M21" i="1"/>
  <c r="N21" i="1" s="1"/>
  <c r="L21" i="1"/>
  <c r="M11" i="1"/>
  <c r="N11" i="1" s="1"/>
  <c r="L11" i="1"/>
  <c r="F40" i="1"/>
  <c r="G40" i="1"/>
  <c r="H40" i="1"/>
  <c r="I40" i="1"/>
  <c r="J40" i="1"/>
  <c r="K40" i="1"/>
  <c r="E40" i="1"/>
  <c r="L41" i="1"/>
  <c r="M41" i="1" s="1"/>
  <c r="N41" i="1" s="1"/>
  <c r="L39" i="1"/>
  <c r="L38" i="1"/>
  <c r="M38" i="1" s="1"/>
  <c r="N38" i="1" s="1"/>
  <c r="L37" i="1"/>
  <c r="L36" i="1"/>
  <c r="L35" i="1"/>
  <c r="M35" i="1" s="1"/>
  <c r="N35" i="1" s="1"/>
  <c r="L34" i="1"/>
  <c r="L33" i="1"/>
  <c r="M33" i="1" s="1"/>
  <c r="N33" i="1" s="1"/>
  <c r="L32" i="1"/>
  <c r="M32" i="1" s="1"/>
  <c r="N32" i="1" s="1"/>
  <c r="L30" i="1"/>
  <c r="M30" i="1" s="1"/>
  <c r="L29" i="1"/>
  <c r="M29" i="1" s="1"/>
  <c r="N29" i="1" s="1"/>
  <c r="L28" i="1"/>
  <c r="L27" i="1"/>
  <c r="L26" i="1"/>
  <c r="M26" i="1" s="1"/>
  <c r="N26" i="1" s="1"/>
  <c r="L25" i="1"/>
  <c r="L24" i="1"/>
  <c r="M24" i="1" s="1"/>
  <c r="N24" i="1" s="1"/>
  <c r="L23" i="1"/>
  <c r="M23" i="1" s="1"/>
  <c r="N23" i="1" s="1"/>
  <c r="L22" i="1"/>
  <c r="L20" i="1"/>
  <c r="L19" i="1"/>
  <c r="L18" i="1"/>
  <c r="L17" i="1"/>
  <c r="M17" i="1" s="1"/>
  <c r="N17" i="1" s="1"/>
  <c r="L16" i="1"/>
  <c r="L15" i="1"/>
  <c r="M15" i="1" s="1"/>
  <c r="N15" i="1" s="1"/>
  <c r="L14" i="1"/>
  <c r="M14" i="1" s="1"/>
  <c r="N14" i="1" s="1"/>
  <c r="L13" i="1"/>
  <c r="L12" i="1"/>
  <c r="L10" i="1"/>
  <c r="L9" i="1"/>
  <c r="E9" i="1"/>
  <c r="L8" i="1"/>
  <c r="M8" i="1" s="1"/>
  <c r="N8" i="1" s="1"/>
  <c r="L7" i="1"/>
  <c r="M7" i="1" s="1"/>
  <c r="L6" i="1"/>
  <c r="H6" i="1"/>
  <c r="L5" i="1"/>
  <c r="H5" i="1"/>
  <c r="L4" i="1"/>
  <c r="L3" i="1"/>
  <c r="L2" i="1"/>
  <c r="L40" i="1" l="1"/>
  <c r="M40" i="1" s="1"/>
  <c r="N40" i="1" s="1"/>
  <c r="M5" i="1"/>
  <c r="N5" i="1" s="1"/>
  <c r="M22" i="1"/>
  <c r="N22" i="1" s="1"/>
  <c r="N30" i="1"/>
  <c r="N7" i="1"/>
  <c r="M4" i="1"/>
  <c r="N4" i="1" s="1"/>
  <c r="M6" i="1"/>
  <c r="N6" i="1" s="1"/>
  <c r="M12" i="1"/>
  <c r="N12" i="1" s="1"/>
  <c r="M20" i="1"/>
  <c r="N20" i="1" s="1"/>
  <c r="M2" i="1"/>
  <c r="N2" i="1" s="1"/>
  <c r="M9" i="1"/>
  <c r="N9" i="1" s="1"/>
  <c r="M18" i="1"/>
  <c r="N18" i="1" s="1"/>
  <c r="M27" i="1"/>
  <c r="N27" i="1" s="1"/>
  <c r="M36" i="1"/>
  <c r="N36" i="1" s="1"/>
  <c r="M13" i="1"/>
  <c r="N13" i="1" s="1"/>
  <c r="M39" i="1"/>
  <c r="N39" i="1" s="1"/>
  <c r="M16" i="1"/>
  <c r="N16" i="1" s="1"/>
  <c r="M25" i="1"/>
  <c r="N25" i="1" s="1"/>
  <c r="M34" i="1"/>
  <c r="N34" i="1" s="1"/>
  <c r="M3" i="1"/>
  <c r="N3" i="1" s="1"/>
  <c r="M10" i="1"/>
  <c r="N10" i="1" s="1"/>
  <c r="M19" i="1"/>
  <c r="N19" i="1" s="1"/>
  <c r="M28" i="1"/>
  <c r="N28" i="1" s="1"/>
  <c r="M37" i="1"/>
  <c r="N37" i="1" s="1"/>
</calcChain>
</file>

<file path=xl/sharedStrings.xml><?xml version="1.0" encoding="utf-8"?>
<sst xmlns="http://schemas.openxmlformats.org/spreadsheetml/2006/main" count="109" uniqueCount="20">
  <si>
    <t>Loja</t>
  </si>
  <si>
    <t>Competência</t>
  </si>
  <si>
    <t>Vendas</t>
  </si>
  <si>
    <t>C.M.V</t>
  </si>
  <si>
    <t>total despesas</t>
  </si>
  <si>
    <t>Aluguel</t>
  </si>
  <si>
    <t>Energia, Água e Internet</t>
  </si>
  <si>
    <t>Despesas Operacionais</t>
  </si>
  <si>
    <t>Despesas Eventuais</t>
  </si>
  <si>
    <t>Marketing</t>
  </si>
  <si>
    <t>Impostos de mercadorias</t>
  </si>
  <si>
    <t>Pessoal (Salários e impostos)</t>
  </si>
  <si>
    <t>Outras despesas</t>
  </si>
  <si>
    <t>ARAM</t>
  </si>
  <si>
    <t>PÁTIO</t>
  </si>
  <si>
    <t>ARTÊMIA</t>
  </si>
  <si>
    <t>MA</t>
  </si>
  <si>
    <t>MANGARA</t>
  </si>
  <si>
    <t>MAIA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</si>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</sst>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10" fontId="0" fillId="0" borderId="0" xfId="2" applyNumberFormat="1" applyFont="1"/>
    <xf numFmtId="10" fontId="0" fillId="0" borderId="0" xfId="2" applyNumberFormat="1" applyFont="1" applyAlignment="1">
      <alignment horizontal="center"/>
    </xf>
    <xf numFmtId="44" fontId="2" fillId="2" borderId="0" xfId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4" fontId="0" fillId="0" borderId="0" xfId="1" applyFont="1" applyAlignment="1">
      <alignment horizontal="center"/>
    </xf>
    <xf numFmtId="17" fontId="0" fillId="0" borderId="0" xfId="0" applyNumberFormat="1" applyAlignment="1">
      <alignment horizontal="center"/>
    </xf>
    <xf numFmtId="44" fontId="0" fillId="0" borderId="0" xfId="1" applyFont="1"/>
    <xf numFmtId="44" fontId="0" fillId="3" borderId="0" xfId="1" applyFont="1" applyFill="1" applyAlignment="1">
      <alignment horizontal="center"/>
    </xf>
    <xf numFmtId="17" fontId="0" fillId="3" borderId="0" xfId="0" applyNumberFormat="1" applyFill="1" applyAlignment="1">
      <alignment horizontal="center"/>
    </xf>
    <xf numFmtId="44" fontId="0" fillId="3" borderId="0" xfId="1" applyFont="1" applyFill="1"/>
    <xf numFmtId="44" fontId="0" fillId="0" borderId="0" xfId="1" applyFont="1" applyFill="1"/>
    <xf numFmtId="44" fontId="0" fillId="4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17" fontId="0" fillId="5" borderId="0" xfId="0" applyNumberFormat="1" applyFill="1" applyAlignment="1">
      <alignment horizontal="center"/>
    </xf>
    <xf numFmtId="44" fontId="0" fillId="5" borderId="0" xfId="1" applyFont="1" applyFill="1"/>
    <xf numFmtId="17" fontId="0" fillId="0" borderId="0" xfId="0" applyNumberFormat="1"/>
    <xf numFmtId="44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6C61-0094-47C0-8A85-45F32BEBE878}">
  <dimension ref="A1:N58"/>
  <sheetViews>
    <sheetView tabSelected="1" zoomScale="68" zoomScaleNormal="68" workbookViewId="0">
      <pane ySplit="1" topLeftCell="A32" activePane="bottomLeft" state="frozen"/>
      <selection pane="bottomLeft" activeCell="E58" sqref="E58"/>
    </sheetView>
  </sheetViews>
  <sheetFormatPr defaultRowHeight="15" x14ac:dyDescent="0.25"/>
  <cols>
    <col min="1" max="1" width="15.7109375" bestFit="1" customWidth="1"/>
    <col min="2" max="2" width="22" style="1" bestFit="1" customWidth="1"/>
    <col min="3" max="3" width="18.140625" style="1" bestFit="1" customWidth="1"/>
    <col min="4" max="5" width="17.85546875" style="1" bestFit="1" customWidth="1"/>
    <col min="6" max="6" width="17" style="1" bestFit="1" customWidth="1"/>
    <col min="7" max="7" width="18.85546875" style="1" bestFit="1" customWidth="1"/>
    <col min="8" max="8" width="17.85546875" style="1" bestFit="1" customWidth="1"/>
    <col min="9" max="9" width="16.28515625" style="1" bestFit="1" customWidth="1"/>
    <col min="10" max="10" width="15.42578125" style="1" bestFit="1" customWidth="1"/>
    <col min="11" max="11" width="17" style="1" bestFit="1" customWidth="1"/>
    <col min="12" max="12" width="22.85546875" style="2" bestFit="1" customWidth="1"/>
    <col min="13" max="13" width="16.28515625" style="2" customWidth="1"/>
    <col min="14" max="14" width="17.42578125" bestFit="1" customWidth="1"/>
  </cols>
  <sheetData>
    <row r="1" spans="1:14" ht="3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19</v>
      </c>
    </row>
    <row r="2" spans="1:14" x14ac:dyDescent="0.25">
      <c r="A2" s="5" t="s">
        <v>13</v>
      </c>
      <c r="B2" s="6">
        <v>45200</v>
      </c>
      <c r="C2" s="7">
        <v>140816.04999999999</v>
      </c>
      <c r="D2" s="7">
        <v>54719.199999999997</v>
      </c>
      <c r="E2" s="7">
        <v>65687.259999999995</v>
      </c>
      <c r="F2" s="7">
        <v>21764.44</v>
      </c>
      <c r="G2" s="7">
        <v>1500</v>
      </c>
      <c r="H2" s="7">
        <v>783.01</v>
      </c>
      <c r="I2" s="7">
        <v>6407.35</v>
      </c>
      <c r="J2" s="7">
        <v>739.24</v>
      </c>
      <c r="K2" s="7">
        <v>13653.42</v>
      </c>
      <c r="L2" s="7">
        <f>14873.42+2496.22</f>
        <v>17369.64</v>
      </c>
      <c r="M2" s="7">
        <f t="shared" ref="M2:M10" si="0">E2-SUM(F2:L2)</f>
        <v>3470.1599999999962</v>
      </c>
      <c r="N2" s="7">
        <f t="shared" ref="N2:N11" si="1">C2-D2-SUM(F2:M2)</f>
        <v>20409.589999999997</v>
      </c>
    </row>
    <row r="3" spans="1:14" x14ac:dyDescent="0.25">
      <c r="A3" s="5" t="s">
        <v>13</v>
      </c>
      <c r="B3" s="6">
        <v>45231</v>
      </c>
      <c r="C3" s="7">
        <v>155292.59</v>
      </c>
      <c r="D3" s="7">
        <v>61622.86</v>
      </c>
      <c r="E3" s="7">
        <v>60356.81</v>
      </c>
      <c r="F3" s="7">
        <v>16934.150000000001</v>
      </c>
      <c r="G3" s="7">
        <v>1263.6300000000001</v>
      </c>
      <c r="H3" s="7">
        <v>353.52</v>
      </c>
      <c r="I3" s="7">
        <v>2776.35</v>
      </c>
      <c r="J3" s="7">
        <v>3073</v>
      </c>
      <c r="K3" s="7">
        <v>14915.19</v>
      </c>
      <c r="L3" s="7">
        <f>17082+684.47</f>
        <v>17766.47</v>
      </c>
      <c r="M3" s="7">
        <f t="shared" si="0"/>
        <v>3274.4999999999927</v>
      </c>
      <c r="N3" s="7">
        <f t="shared" si="1"/>
        <v>33312.92</v>
      </c>
    </row>
    <row r="4" spans="1:14" x14ac:dyDescent="0.25">
      <c r="A4" s="5" t="s">
        <v>13</v>
      </c>
      <c r="B4" s="6">
        <v>45261</v>
      </c>
      <c r="C4" s="7">
        <v>452096.96</v>
      </c>
      <c r="D4" s="7">
        <v>173886.93</v>
      </c>
      <c r="E4" s="7">
        <v>166614.31</v>
      </c>
      <c r="F4" s="7">
        <v>39849.24</v>
      </c>
      <c r="G4" s="7">
        <v>32</v>
      </c>
      <c r="H4" s="7">
        <v>1897</v>
      </c>
      <c r="I4" s="7">
        <v>10132.15</v>
      </c>
      <c r="J4" s="7">
        <v>0</v>
      </c>
      <c r="K4" s="7">
        <v>40756.050000000003</v>
      </c>
      <c r="L4" s="7">
        <f>57504.33+8107.67</f>
        <v>65612</v>
      </c>
      <c r="M4" s="7">
        <f t="shared" si="0"/>
        <v>8335.8699999999953</v>
      </c>
      <c r="N4" s="7">
        <f t="shared" si="1"/>
        <v>111595.72000000003</v>
      </c>
    </row>
    <row r="5" spans="1:14" x14ac:dyDescent="0.25">
      <c r="A5" s="5" t="s">
        <v>13</v>
      </c>
      <c r="B5" s="6">
        <v>45292</v>
      </c>
      <c r="C5" s="7">
        <v>171526.5</v>
      </c>
      <c r="D5" s="7">
        <v>69225.14</v>
      </c>
      <c r="E5" s="7">
        <v>85079.92</v>
      </c>
      <c r="F5" s="7">
        <v>15593.25</v>
      </c>
      <c r="G5" s="7">
        <v>215.8</v>
      </c>
      <c r="H5" s="7">
        <f>433+21214.58</f>
        <v>21647.58</v>
      </c>
      <c r="I5" s="7">
        <v>315.37</v>
      </c>
      <c r="J5" s="7">
        <v>0</v>
      </c>
      <c r="K5" s="7">
        <v>16960.560000000001</v>
      </c>
      <c r="L5" s="7">
        <f>24734.81+1699.57</f>
        <v>26434.38</v>
      </c>
      <c r="M5" s="7">
        <f t="shared" si="0"/>
        <v>3912.9799999999814</v>
      </c>
      <c r="N5" s="7">
        <f t="shared" si="1"/>
        <v>17221.440000000002</v>
      </c>
    </row>
    <row r="6" spans="1:14" x14ac:dyDescent="0.25">
      <c r="A6" s="5" t="s">
        <v>13</v>
      </c>
      <c r="B6" s="6">
        <v>45323</v>
      </c>
      <c r="C6" s="7">
        <v>171264.45</v>
      </c>
      <c r="D6" s="7">
        <v>66385.95</v>
      </c>
      <c r="E6" s="7">
        <v>87929.68</v>
      </c>
      <c r="F6" s="7">
        <v>18316.75</v>
      </c>
      <c r="G6" s="7">
        <v>36</v>
      </c>
      <c r="H6" s="7">
        <f>21214.58+46</f>
        <v>21260.58</v>
      </c>
      <c r="I6" s="7">
        <v>1354</v>
      </c>
      <c r="J6" s="7">
        <v>0</v>
      </c>
      <c r="K6" s="7">
        <v>17268.28</v>
      </c>
      <c r="L6" s="7">
        <f>24506.2+989.6</f>
        <v>25495.8</v>
      </c>
      <c r="M6" s="7">
        <f t="shared" si="0"/>
        <v>4198.2699999999895</v>
      </c>
      <c r="N6" s="7">
        <f t="shared" si="1"/>
        <v>16948.820000000022</v>
      </c>
    </row>
    <row r="7" spans="1:14" x14ac:dyDescent="0.25">
      <c r="A7" s="5" t="s">
        <v>13</v>
      </c>
      <c r="B7" s="6">
        <v>45352</v>
      </c>
      <c r="C7" s="7">
        <v>225427.25</v>
      </c>
      <c r="D7" s="7">
        <v>87703.85</v>
      </c>
      <c r="E7" s="7">
        <v>156229.15</v>
      </c>
      <c r="F7" s="7">
        <v>22098.89</v>
      </c>
      <c r="G7" s="7">
        <v>364.56</v>
      </c>
      <c r="H7" s="7">
        <v>5315.84</v>
      </c>
      <c r="I7" s="7">
        <v>0</v>
      </c>
      <c r="J7" s="7">
        <v>5609.21</v>
      </c>
      <c r="K7" s="7">
        <v>22041.93</v>
      </c>
      <c r="L7" s="7">
        <f>26282.96+2293.58</f>
        <v>28576.54</v>
      </c>
      <c r="M7" s="7">
        <f t="shared" si="0"/>
        <v>72222.179999999993</v>
      </c>
      <c r="N7" s="7">
        <f t="shared" si="1"/>
        <v>-18505.75</v>
      </c>
    </row>
    <row r="8" spans="1:14" x14ac:dyDescent="0.25">
      <c r="A8" s="5" t="s">
        <v>13</v>
      </c>
      <c r="B8" s="6">
        <v>45383</v>
      </c>
      <c r="C8" s="7">
        <v>205779.25</v>
      </c>
      <c r="D8" s="7">
        <v>79539.33</v>
      </c>
      <c r="E8" s="7">
        <v>130957.29</v>
      </c>
      <c r="F8" s="7">
        <v>20641.95</v>
      </c>
      <c r="G8" s="7">
        <v>179.8</v>
      </c>
      <c r="H8" s="7">
        <v>10637.11</v>
      </c>
      <c r="I8" s="7">
        <v>0</v>
      </c>
      <c r="J8" s="7">
        <v>4809.21</v>
      </c>
      <c r="K8" s="7">
        <v>20476.63</v>
      </c>
      <c r="L8" s="7">
        <f>38315.59+4271.44</f>
        <v>42587.03</v>
      </c>
      <c r="M8" s="7">
        <f t="shared" si="0"/>
        <v>31625.559999999998</v>
      </c>
      <c r="N8" s="7">
        <f t="shared" si="1"/>
        <v>-4717.3699999999953</v>
      </c>
    </row>
    <row r="9" spans="1:14" x14ac:dyDescent="0.25">
      <c r="A9" s="5" t="s">
        <v>13</v>
      </c>
      <c r="B9" s="6">
        <v>45413</v>
      </c>
      <c r="C9" s="7">
        <v>347037.77</v>
      </c>
      <c r="D9" s="7">
        <v>133543.67000000001</v>
      </c>
      <c r="E9" s="7">
        <f>137602.42-4788</f>
        <v>132814.42000000001</v>
      </c>
      <c r="F9" s="7">
        <v>31540.77</v>
      </c>
      <c r="G9" s="7">
        <v>179.8</v>
      </c>
      <c r="H9" s="7">
        <v>2092.0500000000002</v>
      </c>
      <c r="I9" s="7">
        <v>1930</v>
      </c>
      <c r="J9" s="7">
        <v>5409.21</v>
      </c>
      <c r="K9" s="7">
        <v>33600.29</v>
      </c>
      <c r="L9" s="7">
        <f>42310.64+3269.14</f>
        <v>45579.78</v>
      </c>
      <c r="M9" s="7">
        <f t="shared" si="0"/>
        <v>12482.520000000019</v>
      </c>
      <c r="N9" s="7">
        <f t="shared" si="1"/>
        <v>80679.679999999993</v>
      </c>
    </row>
    <row r="10" spans="1:14" x14ac:dyDescent="0.25">
      <c r="A10" s="5" t="s">
        <v>13</v>
      </c>
      <c r="B10" s="6">
        <v>45444</v>
      </c>
      <c r="C10" s="7">
        <v>233539.13</v>
      </c>
      <c r="D10" s="7">
        <v>90426.5</v>
      </c>
      <c r="E10" s="7">
        <v>99081.41</v>
      </c>
      <c r="F10" s="7">
        <v>22855.11</v>
      </c>
      <c r="G10" s="1">
        <v>0</v>
      </c>
      <c r="H10" s="7">
        <v>4248.26</v>
      </c>
      <c r="I10" s="7">
        <v>1870</v>
      </c>
      <c r="J10" s="7">
        <v>5409.21</v>
      </c>
      <c r="K10" s="7">
        <v>22716.46</v>
      </c>
      <c r="L10" s="7">
        <f>30366.21+2371.68</f>
        <v>32737.89</v>
      </c>
      <c r="M10" s="7">
        <f t="shared" si="0"/>
        <v>9244.4800000000105</v>
      </c>
      <c r="N10" s="7">
        <f t="shared" si="1"/>
        <v>44031.22</v>
      </c>
    </row>
    <row r="11" spans="1:14" x14ac:dyDescent="0.25">
      <c r="A11" s="5" t="s">
        <v>13</v>
      </c>
      <c r="B11" s="6">
        <v>45474</v>
      </c>
      <c r="C11" s="7">
        <v>216399.8</v>
      </c>
      <c r="D11" s="7">
        <v>84358.85</v>
      </c>
      <c r="E11" s="7">
        <v>121578.06</v>
      </c>
      <c r="F11" s="7">
        <v>21681.56</v>
      </c>
      <c r="G11" s="7">
        <v>359.6</v>
      </c>
      <c r="H11" s="7">
        <v>16023.05</v>
      </c>
      <c r="I11" s="7">
        <v>2037.5</v>
      </c>
      <c r="J11" s="7">
        <v>5124.21</v>
      </c>
      <c r="K11" s="7">
        <v>21455.26</v>
      </c>
      <c r="L11" s="7">
        <f>36284.91+2586.58</f>
        <v>38871.490000000005</v>
      </c>
      <c r="M11" s="7">
        <f>E11-SUM(F11:L11)</f>
        <v>16025.39</v>
      </c>
      <c r="N11" s="7">
        <f t="shared" si="1"/>
        <v>10462.889999999985</v>
      </c>
    </row>
    <row r="12" spans="1:14" x14ac:dyDescent="0.25">
      <c r="A12" s="8" t="s">
        <v>14</v>
      </c>
      <c r="B12" s="9">
        <v>45200</v>
      </c>
      <c r="C12" s="10">
        <v>63400.9</v>
      </c>
      <c r="D12" s="10">
        <v>25470.06</v>
      </c>
      <c r="E12" s="10">
        <v>47395.77</v>
      </c>
      <c r="F12" s="10">
        <v>11027.19</v>
      </c>
      <c r="G12" s="10">
        <v>600</v>
      </c>
      <c r="H12" s="10">
        <v>3375.39</v>
      </c>
      <c r="I12" s="10">
        <v>16</v>
      </c>
      <c r="J12" s="10">
        <v>4480.01</v>
      </c>
      <c r="K12" s="10">
        <v>10513.88</v>
      </c>
      <c r="L12" s="10">
        <f>14216.36+1186.85</f>
        <v>15403.210000000001</v>
      </c>
      <c r="M12" s="10">
        <f t="shared" ref="M12:M17" si="2">E12-SUM(F12:L12)</f>
        <v>1980.0899999999965</v>
      </c>
      <c r="N12" s="10">
        <f t="shared" ref="N12:N53" si="3">C12-D12-SUM(F12:M12)</f>
        <v>-9464.93</v>
      </c>
    </row>
    <row r="13" spans="1:14" x14ac:dyDescent="0.25">
      <c r="A13" s="8" t="s">
        <v>14</v>
      </c>
      <c r="B13" s="9">
        <v>45231</v>
      </c>
      <c r="C13" s="10">
        <v>57826.35</v>
      </c>
      <c r="D13" s="10">
        <v>22940.16</v>
      </c>
      <c r="E13" s="10">
        <v>52261.98</v>
      </c>
      <c r="F13" s="10">
        <v>5443.85</v>
      </c>
      <c r="G13" s="10">
        <v>1961.45</v>
      </c>
      <c r="H13" s="10">
        <v>5819.61</v>
      </c>
      <c r="I13" s="10">
        <v>137.5</v>
      </c>
      <c r="J13" s="10">
        <v>2946.55</v>
      </c>
      <c r="K13" s="10">
        <v>9501.7000000000007</v>
      </c>
      <c r="L13" s="10">
        <f>22697.25+1808.69</f>
        <v>24505.94</v>
      </c>
      <c r="M13" s="10">
        <f t="shared" si="2"/>
        <v>1945.3800000000047</v>
      </c>
      <c r="N13" s="10">
        <f t="shared" si="3"/>
        <v>-17375.79</v>
      </c>
    </row>
    <row r="14" spans="1:14" x14ac:dyDescent="0.25">
      <c r="A14" s="8" t="s">
        <v>14</v>
      </c>
      <c r="B14" s="9">
        <v>45261</v>
      </c>
      <c r="C14" s="10">
        <v>145538.4</v>
      </c>
      <c r="D14" s="10">
        <v>57376.83</v>
      </c>
      <c r="E14" s="10">
        <v>62104.72</v>
      </c>
      <c r="F14" s="10">
        <v>5251.82</v>
      </c>
      <c r="G14" s="10">
        <v>890.93</v>
      </c>
      <c r="H14" s="10">
        <v>1611.5</v>
      </c>
      <c r="I14" s="10">
        <v>145.08000000000001</v>
      </c>
      <c r="J14" s="10">
        <v>4000</v>
      </c>
      <c r="K14" s="10">
        <v>24966.6</v>
      </c>
      <c r="L14" s="10">
        <f>18554.3+3285.93</f>
        <v>21840.23</v>
      </c>
      <c r="M14" s="10">
        <f t="shared" si="2"/>
        <v>3398.5599999999977</v>
      </c>
      <c r="N14" s="10">
        <f t="shared" si="3"/>
        <v>26056.849999999991</v>
      </c>
    </row>
    <row r="15" spans="1:14" x14ac:dyDescent="0.25">
      <c r="A15" s="8" t="s">
        <v>14</v>
      </c>
      <c r="B15" s="9">
        <v>45292</v>
      </c>
      <c r="C15" s="10">
        <v>44430.92</v>
      </c>
      <c r="D15" s="10">
        <v>16547.080000000002</v>
      </c>
      <c r="E15" s="10">
        <v>29840.28</v>
      </c>
      <c r="F15" s="10">
        <v>5358.93</v>
      </c>
      <c r="G15" s="10">
        <v>112.13</v>
      </c>
      <c r="H15" s="10">
        <v>355</v>
      </c>
      <c r="I15" s="10">
        <v>2107.16</v>
      </c>
      <c r="J15" s="10">
        <v>2350</v>
      </c>
      <c r="K15" s="10">
        <v>1111.94</v>
      </c>
      <c r="L15" s="10">
        <f>12773.72+586.25</f>
        <v>13359.97</v>
      </c>
      <c r="M15" s="10">
        <f t="shared" si="2"/>
        <v>5085.1499999999978</v>
      </c>
      <c r="N15" s="10">
        <f t="shared" si="3"/>
        <v>-1956.4400000000023</v>
      </c>
    </row>
    <row r="16" spans="1:14" x14ac:dyDescent="0.25">
      <c r="A16" s="8" t="s">
        <v>14</v>
      </c>
      <c r="B16" s="9">
        <v>45323</v>
      </c>
      <c r="C16" s="10">
        <v>45991.8</v>
      </c>
      <c r="D16" s="10">
        <v>17533.79</v>
      </c>
      <c r="E16" s="10">
        <v>23624.65</v>
      </c>
      <c r="F16" s="10">
        <v>5274.54</v>
      </c>
      <c r="G16" s="10">
        <v>1689.06</v>
      </c>
      <c r="H16" s="10">
        <v>468</v>
      </c>
      <c r="I16" s="10">
        <v>1680.51</v>
      </c>
      <c r="J16" s="10">
        <v>0</v>
      </c>
      <c r="K16" s="10">
        <v>7490.33</v>
      </c>
      <c r="L16" s="10">
        <f>4405.88+1018.95</f>
        <v>5424.83</v>
      </c>
      <c r="M16" s="10">
        <f t="shared" si="2"/>
        <v>1597.3799999999974</v>
      </c>
      <c r="N16" s="10">
        <f t="shared" si="3"/>
        <v>4833.3600000000006</v>
      </c>
    </row>
    <row r="17" spans="1:14" x14ac:dyDescent="0.25">
      <c r="A17" s="8" t="s">
        <v>14</v>
      </c>
      <c r="B17" s="9">
        <v>45352</v>
      </c>
      <c r="C17" s="10">
        <v>64119.63</v>
      </c>
      <c r="D17" s="10">
        <v>25447.86</v>
      </c>
      <c r="E17" s="10">
        <v>28673.91</v>
      </c>
      <c r="F17" s="10">
        <v>5221.71</v>
      </c>
      <c r="G17" s="10">
        <v>114.7</v>
      </c>
      <c r="H17" s="10">
        <v>3649.17</v>
      </c>
      <c r="I17" s="10">
        <v>150</v>
      </c>
      <c r="J17" s="10">
        <v>4700</v>
      </c>
      <c r="K17" s="10">
        <v>4918.21</v>
      </c>
      <c r="L17" s="10">
        <f>6828.16+800.35</f>
        <v>7628.51</v>
      </c>
      <c r="M17" s="10">
        <f t="shared" si="2"/>
        <v>2291.6099999999969</v>
      </c>
      <c r="N17" s="10">
        <f t="shared" si="3"/>
        <v>9997.8599999999969</v>
      </c>
    </row>
    <row r="18" spans="1:14" x14ac:dyDescent="0.25">
      <c r="A18" s="8" t="s">
        <v>14</v>
      </c>
      <c r="B18" s="9">
        <v>45383</v>
      </c>
      <c r="C18" s="10">
        <v>49818.38</v>
      </c>
      <c r="D18" s="10">
        <v>19149.29</v>
      </c>
      <c r="E18" s="10">
        <v>20994.95</v>
      </c>
      <c r="F18" s="10">
        <v>7046.69</v>
      </c>
      <c r="G18" s="10">
        <v>1504.05</v>
      </c>
      <c r="H18" s="10">
        <v>1065.99</v>
      </c>
      <c r="I18" s="10">
        <v>0</v>
      </c>
      <c r="J18" s="10">
        <v>0</v>
      </c>
      <c r="K18" s="10">
        <v>4591.1400000000003</v>
      </c>
      <c r="L18" s="10">
        <f>4552.92+823.1</f>
        <v>5376.02</v>
      </c>
      <c r="M18" s="10">
        <f>E18-SUM(F18:L18)</f>
        <v>1411.0600000000013</v>
      </c>
      <c r="N18" s="10">
        <f t="shared" si="3"/>
        <v>9674.1399999999958</v>
      </c>
    </row>
    <row r="19" spans="1:14" x14ac:dyDescent="0.25">
      <c r="A19" s="8" t="s">
        <v>14</v>
      </c>
      <c r="B19" s="9">
        <v>45413</v>
      </c>
      <c r="C19" s="10">
        <v>95509.95</v>
      </c>
      <c r="D19" s="10">
        <v>37897.43</v>
      </c>
      <c r="E19" s="10">
        <v>34154.15</v>
      </c>
      <c r="F19" s="10">
        <v>5252.2</v>
      </c>
      <c r="G19" s="10">
        <v>118.99</v>
      </c>
      <c r="H19" s="10">
        <v>1453.64</v>
      </c>
      <c r="I19" s="10">
        <v>0</v>
      </c>
      <c r="J19" s="10">
        <v>0</v>
      </c>
      <c r="K19" s="10">
        <v>7761.33</v>
      </c>
      <c r="L19" s="10">
        <f>16182.15+918.58</f>
        <v>17100.73</v>
      </c>
      <c r="M19" s="10">
        <f>E19-SUM(F19:L19)</f>
        <v>2467.260000000002</v>
      </c>
      <c r="N19" s="10">
        <f>C19-D19-SUM(F19:M19)</f>
        <v>23458.369999999995</v>
      </c>
    </row>
    <row r="20" spans="1:14" x14ac:dyDescent="0.25">
      <c r="A20" s="8" t="s">
        <v>14</v>
      </c>
      <c r="B20" s="9">
        <v>45444</v>
      </c>
      <c r="C20" s="10">
        <v>62310</v>
      </c>
      <c r="D20" s="10">
        <v>23380.16</v>
      </c>
      <c r="E20" s="10">
        <v>25813.91</v>
      </c>
      <c r="F20" s="10">
        <v>5420.16</v>
      </c>
      <c r="G20" s="10">
        <v>957.3</v>
      </c>
      <c r="H20" s="10">
        <v>0</v>
      </c>
      <c r="I20" s="10">
        <v>0</v>
      </c>
      <c r="J20" s="10">
        <v>0</v>
      </c>
      <c r="K20" s="10">
        <v>5661.69</v>
      </c>
      <c r="L20" s="10">
        <f>5547.81+1223.76</f>
        <v>6771.5700000000006</v>
      </c>
      <c r="M20" s="10">
        <f>E20-SUM(F20:L20)</f>
        <v>7003.1899999999987</v>
      </c>
      <c r="N20" s="10">
        <f t="shared" si="3"/>
        <v>13115.929999999997</v>
      </c>
    </row>
    <row r="21" spans="1:14" x14ac:dyDescent="0.25">
      <c r="A21" s="8" t="s">
        <v>14</v>
      </c>
      <c r="B21" s="9">
        <v>45474</v>
      </c>
      <c r="C21" s="10">
        <v>66966.2</v>
      </c>
      <c r="D21" s="10">
        <v>26638.27</v>
      </c>
      <c r="E21" s="10">
        <v>25692.34</v>
      </c>
      <c r="F21" s="10">
        <v>4200</v>
      </c>
      <c r="G21" s="10">
        <v>261.64999999999998</v>
      </c>
      <c r="H21" s="10">
        <v>1400.26</v>
      </c>
      <c r="I21" s="10">
        <v>0</v>
      </c>
      <c r="J21" s="10">
        <v>0</v>
      </c>
      <c r="K21" s="10">
        <v>5928.24</v>
      </c>
      <c r="L21" s="10">
        <f>11022.18+1236.61</f>
        <v>12258.79</v>
      </c>
      <c r="M21" s="10">
        <f>E21-SUM(F21:L21)</f>
        <v>1643.3999999999978</v>
      </c>
      <c r="N21" s="10">
        <f t="shared" si="3"/>
        <v>14635.589999999993</v>
      </c>
    </row>
    <row r="22" spans="1:14" x14ac:dyDescent="0.25">
      <c r="A22" s="5" t="s">
        <v>15</v>
      </c>
      <c r="B22" s="6">
        <v>45200</v>
      </c>
      <c r="C22" s="7">
        <v>50222.79</v>
      </c>
      <c r="D22" s="7">
        <v>20341.23</v>
      </c>
      <c r="E22" s="7">
        <v>27178.59</v>
      </c>
      <c r="F22" s="7">
        <v>3943.98</v>
      </c>
      <c r="G22" s="7">
        <v>1031.47</v>
      </c>
      <c r="H22" s="7">
        <v>2652.03</v>
      </c>
      <c r="I22" s="7">
        <v>5878.03</v>
      </c>
      <c r="J22" s="7">
        <v>449.86</v>
      </c>
      <c r="K22" s="7">
        <v>4803.4399999999996</v>
      </c>
      <c r="L22" s="7">
        <f>5865.24+765.6</f>
        <v>6630.84</v>
      </c>
      <c r="M22" s="11">
        <f t="shared" ref="M22:M23" si="4">E22-SUM(F22:L22)</f>
        <v>1788.9400000000023</v>
      </c>
      <c r="N22" s="11">
        <f t="shared" si="3"/>
        <v>2702.9700000000012</v>
      </c>
    </row>
    <row r="23" spans="1:14" x14ac:dyDescent="0.25">
      <c r="A23" s="5" t="s">
        <v>15</v>
      </c>
      <c r="B23" s="6">
        <v>45231</v>
      </c>
      <c r="C23" s="7">
        <v>51164.34</v>
      </c>
      <c r="D23" s="7">
        <v>20266.38</v>
      </c>
      <c r="E23" s="7">
        <v>22523.14</v>
      </c>
      <c r="F23" s="7">
        <v>3935.61</v>
      </c>
      <c r="G23" s="7">
        <v>938.84</v>
      </c>
      <c r="H23" s="7">
        <v>4450.47</v>
      </c>
      <c r="I23" s="7">
        <v>4197.03</v>
      </c>
      <c r="J23" s="7">
        <v>566.79999999999995</v>
      </c>
      <c r="K23" s="7">
        <v>0</v>
      </c>
      <c r="L23" s="7">
        <f>5917.07+338.02</f>
        <v>6255.09</v>
      </c>
      <c r="M23" s="7">
        <f t="shared" si="4"/>
        <v>2179.2999999999993</v>
      </c>
      <c r="N23" s="11">
        <f t="shared" si="3"/>
        <v>8374.8199999999961</v>
      </c>
    </row>
    <row r="24" spans="1:14" x14ac:dyDescent="0.25">
      <c r="A24" s="5" t="s">
        <v>15</v>
      </c>
      <c r="B24" s="6">
        <v>45261</v>
      </c>
      <c r="C24" s="7">
        <v>126765.81</v>
      </c>
      <c r="D24" s="7">
        <v>49095.24</v>
      </c>
      <c r="E24" s="7">
        <v>27054.03</v>
      </c>
      <c r="F24" s="7">
        <v>3948.63</v>
      </c>
      <c r="G24" s="7">
        <v>695.29</v>
      </c>
      <c r="H24" s="7">
        <v>2064.8000000000002</v>
      </c>
      <c r="I24" s="7">
        <v>61.18</v>
      </c>
      <c r="J24" s="7">
        <v>1329.97</v>
      </c>
      <c r="K24" s="7">
        <v>0</v>
      </c>
      <c r="L24" s="7">
        <f>15166.72+836.39</f>
        <v>16003.109999999999</v>
      </c>
      <c r="M24" s="7">
        <f t="shared" ref="M24:M30" si="5">E24-SUM(F24:L24)</f>
        <v>2951.0499999999993</v>
      </c>
      <c r="N24" s="11">
        <f t="shared" si="3"/>
        <v>50616.540000000008</v>
      </c>
    </row>
    <row r="25" spans="1:14" x14ac:dyDescent="0.25">
      <c r="A25" s="5" t="s">
        <v>15</v>
      </c>
      <c r="B25" s="6">
        <v>45292</v>
      </c>
      <c r="C25" s="7">
        <v>32479.57</v>
      </c>
      <c r="D25" s="7">
        <v>13253.4</v>
      </c>
      <c r="E25" s="7">
        <v>25451.54</v>
      </c>
      <c r="F25" s="7">
        <v>3996.7</v>
      </c>
      <c r="G25" s="7">
        <v>878.79</v>
      </c>
      <c r="H25" s="7">
        <v>234</v>
      </c>
      <c r="I25" s="7">
        <v>245.17</v>
      </c>
      <c r="J25" s="7">
        <v>1000</v>
      </c>
      <c r="K25" s="7">
        <v>7084.32</v>
      </c>
      <c r="L25" s="7">
        <f>9405.6+458.19</f>
        <v>9863.7900000000009</v>
      </c>
      <c r="M25" s="7">
        <f t="shared" si="5"/>
        <v>2148.7700000000004</v>
      </c>
      <c r="N25" s="11">
        <f t="shared" si="3"/>
        <v>-6225.3700000000026</v>
      </c>
    </row>
    <row r="26" spans="1:14" x14ac:dyDescent="0.25">
      <c r="A26" s="5" t="s">
        <v>15</v>
      </c>
      <c r="B26" s="6">
        <v>45323</v>
      </c>
      <c r="C26" s="7">
        <v>42944.57</v>
      </c>
      <c r="D26" s="7">
        <v>16484.8</v>
      </c>
      <c r="E26" s="7">
        <v>34614.85</v>
      </c>
      <c r="F26" s="7">
        <v>3994.23</v>
      </c>
      <c r="G26" s="7">
        <v>586.24</v>
      </c>
      <c r="H26" s="7">
        <v>207</v>
      </c>
      <c r="I26" s="7">
        <v>10443.98</v>
      </c>
      <c r="J26" s="7">
        <v>5350</v>
      </c>
      <c r="K26" s="7">
        <v>0</v>
      </c>
      <c r="L26" s="7">
        <f>11486.33+341.18</f>
        <v>11827.51</v>
      </c>
      <c r="M26" s="7">
        <f t="shared" si="5"/>
        <v>2205.8899999999994</v>
      </c>
      <c r="N26" s="11">
        <f t="shared" si="3"/>
        <v>-8155.0799999999981</v>
      </c>
    </row>
    <row r="27" spans="1:14" x14ac:dyDescent="0.25">
      <c r="A27" s="5" t="s">
        <v>15</v>
      </c>
      <c r="B27" s="6">
        <v>45352</v>
      </c>
      <c r="C27" s="7">
        <v>63089.5</v>
      </c>
      <c r="D27" s="7">
        <v>24836.09</v>
      </c>
      <c r="E27" s="7">
        <v>34978.89</v>
      </c>
      <c r="F27" s="7">
        <v>3998.2</v>
      </c>
      <c r="G27" s="7">
        <v>727.01</v>
      </c>
      <c r="H27" s="7">
        <v>1284.3699999999999</v>
      </c>
      <c r="I27" s="7">
        <v>48</v>
      </c>
      <c r="J27" s="7">
        <v>5409.21</v>
      </c>
      <c r="K27" s="7">
        <v>5773.55</v>
      </c>
      <c r="L27" s="7">
        <f>15022.81+939.54</f>
        <v>15962.349999999999</v>
      </c>
      <c r="M27" s="7">
        <f t="shared" si="5"/>
        <v>1776.1999999999971</v>
      </c>
      <c r="N27" s="11">
        <f t="shared" si="3"/>
        <v>3274.5200000000041</v>
      </c>
    </row>
    <row r="28" spans="1:14" x14ac:dyDescent="0.25">
      <c r="A28" s="5" t="s">
        <v>15</v>
      </c>
      <c r="B28" s="6">
        <v>45383</v>
      </c>
      <c r="C28" s="7">
        <v>59778.7</v>
      </c>
      <c r="D28" s="7">
        <v>23052.03</v>
      </c>
      <c r="E28" s="7">
        <v>30129.1</v>
      </c>
      <c r="F28" s="7">
        <v>4607.6099999999997</v>
      </c>
      <c r="G28" s="7">
        <v>601.5</v>
      </c>
      <c r="H28" s="7">
        <v>902.02</v>
      </c>
      <c r="I28" s="7">
        <v>1345</v>
      </c>
      <c r="J28" s="7">
        <v>1500</v>
      </c>
      <c r="K28" s="7">
        <v>5389.6</v>
      </c>
      <c r="L28" s="7">
        <f>12356.22+966.24</f>
        <v>13322.46</v>
      </c>
      <c r="M28" s="7">
        <f t="shared" si="5"/>
        <v>2460.91</v>
      </c>
      <c r="N28" s="11">
        <f t="shared" si="3"/>
        <v>6597.57</v>
      </c>
    </row>
    <row r="29" spans="1:14" x14ac:dyDescent="0.25">
      <c r="A29" s="5" t="s">
        <v>15</v>
      </c>
      <c r="B29" s="6">
        <v>45413</v>
      </c>
      <c r="C29" s="7">
        <v>100633.41</v>
      </c>
      <c r="D29" s="7">
        <v>39788.78</v>
      </c>
      <c r="E29" s="7">
        <v>34183.25</v>
      </c>
      <c r="F29" s="7">
        <v>3999.31</v>
      </c>
      <c r="G29" s="7">
        <v>729.03</v>
      </c>
      <c r="H29" s="7">
        <v>1167.51</v>
      </c>
      <c r="I29" s="7">
        <v>260</v>
      </c>
      <c r="J29" s="7">
        <v>9111.51</v>
      </c>
      <c r="K29" s="7">
        <v>1193.6600000000001</v>
      </c>
      <c r="L29" s="7">
        <f>15647.91+1078.31</f>
        <v>16726.22</v>
      </c>
      <c r="M29" s="7">
        <f t="shared" si="5"/>
        <v>996.00999999999476</v>
      </c>
      <c r="N29" s="11">
        <f t="shared" si="3"/>
        <v>26661.380000000005</v>
      </c>
    </row>
    <row r="30" spans="1:14" x14ac:dyDescent="0.25">
      <c r="A30" s="5" t="s">
        <v>15</v>
      </c>
      <c r="B30" s="6">
        <v>45444</v>
      </c>
      <c r="C30" s="7">
        <v>61087.45</v>
      </c>
      <c r="D30" s="7">
        <v>23836.3</v>
      </c>
      <c r="E30" s="7">
        <v>16896.29</v>
      </c>
      <c r="F30" s="7">
        <v>3991.84</v>
      </c>
      <c r="G30" s="7">
        <v>860.88</v>
      </c>
      <c r="H30" s="7">
        <v>4245.8</v>
      </c>
      <c r="I30" s="7">
        <v>0</v>
      </c>
      <c r="J30" s="7">
        <v>0</v>
      </c>
      <c r="K30" s="7">
        <v>5229.13</v>
      </c>
      <c r="L30" s="7">
        <f>5163.64+416.7</f>
        <v>5580.34</v>
      </c>
      <c r="M30" s="7">
        <f t="shared" si="5"/>
        <v>-3011.7000000000007</v>
      </c>
      <c r="N30" s="11">
        <f t="shared" si="3"/>
        <v>20354.859999999993</v>
      </c>
    </row>
    <row r="31" spans="1:14" x14ac:dyDescent="0.25">
      <c r="A31" s="5" t="s">
        <v>15</v>
      </c>
      <c r="B31" s="6">
        <v>45474</v>
      </c>
      <c r="C31" s="7">
        <v>60409.25</v>
      </c>
      <c r="D31" s="7">
        <v>24306.31</v>
      </c>
      <c r="E31" s="7">
        <v>33459.83</v>
      </c>
      <c r="F31" s="7">
        <v>3995.03</v>
      </c>
      <c r="G31" s="7">
        <v>654.41999999999996</v>
      </c>
      <c r="H31" s="7">
        <v>426.3</v>
      </c>
      <c r="I31" s="7">
        <v>1863</v>
      </c>
      <c r="J31" s="7">
        <v>1500</v>
      </c>
      <c r="K31" s="7">
        <v>5262.74</v>
      </c>
      <c r="L31" s="7">
        <f>17555.03+388.6</f>
        <v>17943.629999999997</v>
      </c>
      <c r="M31" s="7">
        <f>E31-SUM(F31:L31)</f>
        <v>1814.7100000000064</v>
      </c>
      <c r="N31" s="11">
        <f t="shared" si="3"/>
        <v>2643.1100000000006</v>
      </c>
    </row>
    <row r="32" spans="1:14" x14ac:dyDescent="0.25">
      <c r="A32" s="8" t="s">
        <v>16</v>
      </c>
      <c r="B32" s="9">
        <v>45200</v>
      </c>
      <c r="C32" s="10">
        <v>100034.59</v>
      </c>
      <c r="D32" s="10">
        <v>53059.32</v>
      </c>
      <c r="E32" s="10">
        <v>64007.97</v>
      </c>
      <c r="F32" s="10">
        <v>2700</v>
      </c>
      <c r="G32" s="10">
        <v>736.62</v>
      </c>
      <c r="H32" s="10">
        <v>552</v>
      </c>
      <c r="I32" s="10">
        <v>305.89999999999998</v>
      </c>
      <c r="J32" s="10">
        <v>1950</v>
      </c>
      <c r="K32" s="10">
        <v>13304.19</v>
      </c>
      <c r="L32" s="10">
        <f>41396.93+721.24</f>
        <v>42118.17</v>
      </c>
      <c r="M32" s="10">
        <f t="shared" ref="M32:M40" si="6">E32-SUM(F32:L32)</f>
        <v>2341.0900000000038</v>
      </c>
      <c r="N32" s="10">
        <f t="shared" si="3"/>
        <v>-17032.700000000004</v>
      </c>
    </row>
    <row r="33" spans="1:14" x14ac:dyDescent="0.25">
      <c r="A33" s="8" t="s">
        <v>16</v>
      </c>
      <c r="B33" s="9">
        <v>45231</v>
      </c>
      <c r="C33" s="10">
        <v>196243.8</v>
      </c>
      <c r="D33" s="10">
        <v>99221.65</v>
      </c>
      <c r="E33" s="10">
        <v>62987.47</v>
      </c>
      <c r="F33" s="10">
        <v>2700</v>
      </c>
      <c r="G33" s="10">
        <v>802.87</v>
      </c>
      <c r="H33" s="10">
        <v>610</v>
      </c>
      <c r="I33" s="10">
        <v>9055.25</v>
      </c>
      <c r="J33" s="10">
        <v>2909.6</v>
      </c>
      <c r="K33" s="10">
        <v>16055.78</v>
      </c>
      <c r="L33" s="10">
        <f>25465.01+1428</f>
        <v>26893.01</v>
      </c>
      <c r="M33" s="10">
        <f t="shared" si="6"/>
        <v>3960.9600000000064</v>
      </c>
      <c r="N33" s="10">
        <f t="shared" si="3"/>
        <v>34034.679999999993</v>
      </c>
    </row>
    <row r="34" spans="1:14" x14ac:dyDescent="0.25">
      <c r="A34" s="8" t="s">
        <v>16</v>
      </c>
      <c r="B34" s="9">
        <v>45261</v>
      </c>
      <c r="C34" s="10">
        <v>249441.39</v>
      </c>
      <c r="D34" s="10">
        <v>123292.88</v>
      </c>
      <c r="E34" s="10">
        <v>63698.48</v>
      </c>
      <c r="F34" s="10">
        <v>2700</v>
      </c>
      <c r="G34" s="10">
        <v>1004.18</v>
      </c>
      <c r="H34" s="10">
        <v>866.7</v>
      </c>
      <c r="I34" s="10">
        <v>980.08</v>
      </c>
      <c r="J34" s="10">
        <v>2550</v>
      </c>
      <c r="K34" s="10">
        <v>23889.47</v>
      </c>
      <c r="L34" s="10">
        <f>24896.97+1409.18</f>
        <v>26306.15</v>
      </c>
      <c r="M34" s="10">
        <f t="shared" si="6"/>
        <v>5401.9000000000015</v>
      </c>
      <c r="N34" s="10">
        <f t="shared" si="3"/>
        <v>62450.030000000006</v>
      </c>
    </row>
    <row r="35" spans="1:14" x14ac:dyDescent="0.25">
      <c r="A35" s="8" t="s">
        <v>16</v>
      </c>
      <c r="B35" s="9">
        <v>45292</v>
      </c>
      <c r="C35" s="10">
        <v>110219.85</v>
      </c>
      <c r="D35" s="10">
        <v>59434.720000000001</v>
      </c>
      <c r="E35" s="10">
        <v>44969.39</v>
      </c>
      <c r="F35" s="10">
        <v>5400</v>
      </c>
      <c r="G35" s="10">
        <v>488.58</v>
      </c>
      <c r="H35" s="10">
        <v>409</v>
      </c>
      <c r="I35" s="10">
        <v>2248.79</v>
      </c>
      <c r="J35" s="10">
        <v>1950</v>
      </c>
      <c r="K35" s="10">
        <v>12297.86</v>
      </c>
      <c r="L35" s="10">
        <f>19117.46+441.69</f>
        <v>19559.149999999998</v>
      </c>
      <c r="M35" s="10">
        <f t="shared" si="6"/>
        <v>2616.010000000002</v>
      </c>
      <c r="N35" s="10">
        <f t="shared" si="3"/>
        <v>5815.7400000000052</v>
      </c>
    </row>
    <row r="36" spans="1:14" x14ac:dyDescent="0.25">
      <c r="A36" s="8" t="s">
        <v>16</v>
      </c>
      <c r="B36" s="9">
        <v>45323</v>
      </c>
      <c r="C36" s="10">
        <v>118729.7</v>
      </c>
      <c r="D36" s="10">
        <v>59015.99</v>
      </c>
      <c r="E36" s="10">
        <v>45218.95</v>
      </c>
      <c r="F36" s="10">
        <v>2700</v>
      </c>
      <c r="G36" s="10">
        <v>741.12</v>
      </c>
      <c r="H36" s="10">
        <v>306.51</v>
      </c>
      <c r="I36" s="10">
        <v>1103.08</v>
      </c>
      <c r="J36" s="10">
        <v>2254.8000000000002</v>
      </c>
      <c r="K36" s="10">
        <v>10821.58</v>
      </c>
      <c r="L36" s="10">
        <f>22808.44+745.56</f>
        <v>23554</v>
      </c>
      <c r="M36" s="10">
        <f t="shared" si="6"/>
        <v>3737.8600000000006</v>
      </c>
      <c r="N36" s="10">
        <f t="shared" si="3"/>
        <v>14494.760000000002</v>
      </c>
    </row>
    <row r="37" spans="1:14" x14ac:dyDescent="0.25">
      <c r="A37" s="8" t="s">
        <v>16</v>
      </c>
      <c r="B37" s="9">
        <v>45352</v>
      </c>
      <c r="C37" s="10">
        <v>191879.59</v>
      </c>
      <c r="D37" s="10">
        <v>98079.91</v>
      </c>
      <c r="E37" s="10">
        <v>55692.4</v>
      </c>
      <c r="F37" s="10">
        <v>2700</v>
      </c>
      <c r="G37" s="10">
        <v>789.62</v>
      </c>
      <c r="H37" s="10">
        <v>985.85</v>
      </c>
      <c r="I37" s="10">
        <v>1669.38</v>
      </c>
      <c r="J37" s="10">
        <v>0</v>
      </c>
      <c r="K37" s="10">
        <v>18206.11</v>
      </c>
      <c r="L37" s="10">
        <f>26005.12+878.9</f>
        <v>26884.02</v>
      </c>
      <c r="M37" s="10">
        <f t="shared" si="6"/>
        <v>4457.4200000000055</v>
      </c>
      <c r="N37" s="10">
        <f t="shared" si="3"/>
        <v>38107.279999999992</v>
      </c>
    </row>
    <row r="38" spans="1:14" x14ac:dyDescent="0.25">
      <c r="A38" s="8" t="s">
        <v>16</v>
      </c>
      <c r="B38" s="9">
        <v>45383</v>
      </c>
      <c r="C38" s="10">
        <v>212747.45</v>
      </c>
      <c r="D38" s="10">
        <v>106062.28</v>
      </c>
      <c r="E38" s="10">
        <v>75032.34</v>
      </c>
      <c r="F38" s="10">
        <v>2700</v>
      </c>
      <c r="G38" s="10">
        <v>670.05</v>
      </c>
      <c r="H38" s="10">
        <v>388.78</v>
      </c>
      <c r="I38" s="10">
        <v>11130.3</v>
      </c>
      <c r="J38" s="10">
        <v>125</v>
      </c>
      <c r="K38" s="10">
        <v>19875.009999999998</v>
      </c>
      <c r="L38" s="10">
        <f>35297.7+981.01</f>
        <v>36278.71</v>
      </c>
      <c r="M38" s="10">
        <f t="shared" ref="M38" si="7">E38-SUM(F38:L38)</f>
        <v>3864.4899999999907</v>
      </c>
      <c r="N38" s="10">
        <f t="shared" si="3"/>
        <v>31652.830000000016</v>
      </c>
    </row>
    <row r="39" spans="1:14" x14ac:dyDescent="0.25">
      <c r="A39" s="8" t="s">
        <v>16</v>
      </c>
      <c r="B39" s="9">
        <v>45413</v>
      </c>
      <c r="C39" s="10">
        <v>214606.95</v>
      </c>
      <c r="D39" s="10">
        <v>104226.23</v>
      </c>
      <c r="E39" s="10">
        <v>55007.519999999997</v>
      </c>
      <c r="F39" s="10">
        <v>2700</v>
      </c>
      <c r="G39" s="10">
        <v>357.28</v>
      </c>
      <c r="H39" s="10">
        <v>755</v>
      </c>
      <c r="I39" s="10">
        <v>847.74</v>
      </c>
      <c r="J39" s="10">
        <v>0</v>
      </c>
      <c r="K39" s="10">
        <v>17086.54</v>
      </c>
      <c r="L39" s="10">
        <f>26941.18+1538.93</f>
        <v>28480.11</v>
      </c>
      <c r="M39" s="10">
        <f t="shared" si="6"/>
        <v>4780.8499999999985</v>
      </c>
      <c r="N39" s="10">
        <f t="shared" si="3"/>
        <v>55373.200000000019</v>
      </c>
    </row>
    <row r="40" spans="1:14" x14ac:dyDescent="0.25">
      <c r="A40" s="8" t="s">
        <v>16</v>
      </c>
      <c r="B40" s="9">
        <v>45444</v>
      </c>
      <c r="C40" s="10">
        <v>163543.75</v>
      </c>
      <c r="D40" s="10">
        <v>81608.83</v>
      </c>
      <c r="E40" s="10">
        <f>AVERAGE(E32:E39)</f>
        <v>58326.815000000002</v>
      </c>
      <c r="F40" s="10">
        <f t="shared" ref="F40:L40" si="8">AVERAGE(F32:F39)</f>
        <v>3037.5</v>
      </c>
      <c r="G40" s="10">
        <f t="shared" si="8"/>
        <v>698.79</v>
      </c>
      <c r="H40" s="10">
        <f t="shared" si="8"/>
        <v>609.23</v>
      </c>
      <c r="I40" s="10">
        <f t="shared" si="8"/>
        <v>3417.5650000000001</v>
      </c>
      <c r="J40" s="10">
        <f t="shared" si="8"/>
        <v>1467.4250000000002</v>
      </c>
      <c r="K40" s="10">
        <f t="shared" si="8"/>
        <v>16442.067500000001</v>
      </c>
      <c r="L40" s="10">
        <f t="shared" si="8"/>
        <v>28759.164999999994</v>
      </c>
      <c r="M40" s="10">
        <f t="shared" si="6"/>
        <v>3895.0725000000093</v>
      </c>
      <c r="N40" s="10">
        <f t="shared" si="3"/>
        <v>23608.104999999996</v>
      </c>
    </row>
    <row r="41" spans="1:14" x14ac:dyDescent="0.25">
      <c r="A41" s="8" t="s">
        <v>16</v>
      </c>
      <c r="B41" s="9">
        <v>45474</v>
      </c>
      <c r="C41" s="10">
        <v>190928.78</v>
      </c>
      <c r="D41" s="10">
        <v>96331.29</v>
      </c>
      <c r="E41" s="10">
        <v>64877.95</v>
      </c>
      <c r="F41" s="10">
        <v>3300</v>
      </c>
      <c r="G41" s="10">
        <v>473.53</v>
      </c>
      <c r="H41" s="10">
        <v>6844.4</v>
      </c>
      <c r="I41" s="10">
        <v>892.27</v>
      </c>
      <c r="J41" s="10">
        <v>500</v>
      </c>
      <c r="K41" s="10">
        <v>15219.11</v>
      </c>
      <c r="L41" s="10">
        <f>22987.8+2399.42</f>
        <v>25387.22</v>
      </c>
      <c r="M41" s="10">
        <f>E41-SUM(F41:L41)</f>
        <v>12261.419999999998</v>
      </c>
      <c r="N41" s="10">
        <f t="shared" si="3"/>
        <v>29719.540000000008</v>
      </c>
    </row>
    <row r="42" spans="1:14" x14ac:dyDescent="0.25">
      <c r="A42" s="12" t="s">
        <v>17</v>
      </c>
      <c r="B42" s="6">
        <v>45231</v>
      </c>
      <c r="C42" s="11">
        <v>31861.59</v>
      </c>
      <c r="D42" s="11">
        <v>12559.64</v>
      </c>
      <c r="E42" s="11">
        <v>17857</v>
      </c>
      <c r="F42" s="11">
        <v>5500</v>
      </c>
      <c r="G42" s="11">
        <v>183.99</v>
      </c>
      <c r="H42" s="11">
        <v>858</v>
      </c>
      <c r="I42" s="11">
        <v>2857.07</v>
      </c>
      <c r="J42" s="11">
        <v>300</v>
      </c>
      <c r="K42" s="11">
        <v>864.39</v>
      </c>
      <c r="L42" s="11">
        <f>3327.67+461.72</f>
        <v>3789.3900000000003</v>
      </c>
      <c r="M42" s="11">
        <f t="shared" ref="M42" si="9">E42-SUM(F42:L42)</f>
        <v>3504.16</v>
      </c>
      <c r="N42" s="11">
        <f t="shared" si="3"/>
        <v>1444.9500000000007</v>
      </c>
    </row>
    <row r="43" spans="1:14" x14ac:dyDescent="0.25">
      <c r="A43" s="12" t="s">
        <v>17</v>
      </c>
      <c r="B43" s="6">
        <v>45261</v>
      </c>
      <c r="C43" s="11">
        <v>116335.75</v>
      </c>
      <c r="D43" s="11">
        <v>48406.17</v>
      </c>
      <c r="E43" s="11">
        <v>22441.64</v>
      </c>
      <c r="F43" s="11">
        <v>5500</v>
      </c>
      <c r="G43" s="11">
        <v>1493.42</v>
      </c>
      <c r="H43" s="11">
        <v>751.3</v>
      </c>
      <c r="I43" s="11">
        <v>4175.92</v>
      </c>
      <c r="J43" s="11">
        <v>300</v>
      </c>
      <c r="K43" s="11">
        <v>2940</v>
      </c>
      <c r="L43" s="11">
        <f>3367.63+666.14</f>
        <v>4033.77</v>
      </c>
      <c r="M43" s="11">
        <f t="shared" ref="M43:M52" si="10">E43-SUM(F43:L43)</f>
        <v>3247.2299999999996</v>
      </c>
      <c r="N43" s="11">
        <f t="shared" si="3"/>
        <v>45487.94</v>
      </c>
    </row>
    <row r="44" spans="1:14" x14ac:dyDescent="0.25">
      <c r="A44" s="12" t="s">
        <v>17</v>
      </c>
      <c r="B44" s="6">
        <v>45292</v>
      </c>
      <c r="C44" s="11">
        <v>34274.65</v>
      </c>
      <c r="D44" s="11">
        <v>13788.23</v>
      </c>
      <c r="E44" s="11">
        <v>22516.82</v>
      </c>
      <c r="F44" s="11">
        <v>5500</v>
      </c>
      <c r="G44" s="11">
        <v>1320.6</v>
      </c>
      <c r="H44" s="11">
        <v>1124.24</v>
      </c>
      <c r="I44" s="11">
        <v>2661.43</v>
      </c>
      <c r="J44" s="11">
        <v>300</v>
      </c>
      <c r="K44" s="11">
        <v>1902.24</v>
      </c>
      <c r="L44" s="11">
        <f>6886.36+775.42</f>
        <v>7661.78</v>
      </c>
      <c r="M44" s="11">
        <f t="shared" si="10"/>
        <v>2046.5299999999988</v>
      </c>
      <c r="N44" s="11">
        <f t="shared" si="3"/>
        <v>-2030.3999999999978</v>
      </c>
    </row>
    <row r="45" spans="1:14" x14ac:dyDescent="0.25">
      <c r="A45" s="12" t="s">
        <v>17</v>
      </c>
      <c r="B45" s="6">
        <v>45323</v>
      </c>
      <c r="C45" s="11">
        <v>35094.6</v>
      </c>
      <c r="D45" s="11">
        <v>13470.1</v>
      </c>
      <c r="E45" s="11">
        <v>21750.19</v>
      </c>
      <c r="F45" s="11">
        <v>5500</v>
      </c>
      <c r="G45" s="11">
        <v>183.87</v>
      </c>
      <c r="H45" s="11">
        <v>69</v>
      </c>
      <c r="I45" s="11">
        <v>7196.46</v>
      </c>
      <c r="J45" s="11">
        <v>300</v>
      </c>
      <c r="K45" s="11">
        <v>1773.85</v>
      </c>
      <c r="L45" s="11">
        <f>4282.95+845.46</f>
        <v>5128.41</v>
      </c>
      <c r="M45" s="11">
        <f t="shared" si="10"/>
        <v>1598.5999999999985</v>
      </c>
      <c r="N45" s="11">
        <f t="shared" si="3"/>
        <v>-125.68999999999869</v>
      </c>
    </row>
    <row r="46" spans="1:14" x14ac:dyDescent="0.25">
      <c r="A46" s="12" t="s">
        <v>17</v>
      </c>
      <c r="B46" s="6">
        <v>45352</v>
      </c>
      <c r="C46" s="11">
        <v>44023.95</v>
      </c>
      <c r="D46" s="11">
        <v>16216.79</v>
      </c>
      <c r="E46" s="11">
        <v>23162.26</v>
      </c>
      <c r="F46" s="11">
        <v>5563</v>
      </c>
      <c r="G46" s="11">
        <v>1312.34</v>
      </c>
      <c r="H46" s="11">
        <v>5091.05</v>
      </c>
      <c r="I46" s="11">
        <v>0</v>
      </c>
      <c r="J46" s="11">
        <v>0</v>
      </c>
      <c r="K46" s="11">
        <v>2603.3200000000002</v>
      </c>
      <c r="L46" s="11">
        <f>5605.94+875.99</f>
        <v>6481.9299999999994</v>
      </c>
      <c r="M46" s="11">
        <f t="shared" si="10"/>
        <v>2110.619999999999</v>
      </c>
      <c r="N46" s="11">
        <f t="shared" si="3"/>
        <v>4644.8999999999978</v>
      </c>
    </row>
    <row r="47" spans="1:14" x14ac:dyDescent="0.25">
      <c r="A47" s="12" t="s">
        <v>17</v>
      </c>
      <c r="B47" s="6">
        <v>45383</v>
      </c>
      <c r="C47" s="11">
        <v>48297.5</v>
      </c>
      <c r="D47" s="11">
        <v>18635.55</v>
      </c>
      <c r="E47" s="11">
        <v>20533.78</v>
      </c>
      <c r="F47" s="11">
        <v>5500</v>
      </c>
      <c r="G47" s="11">
        <v>1307.08</v>
      </c>
      <c r="H47" s="11">
        <v>981.91</v>
      </c>
      <c r="I47" s="11">
        <v>1000</v>
      </c>
      <c r="J47" s="11">
        <v>0</v>
      </c>
      <c r="K47" s="11">
        <v>2545.5700000000002</v>
      </c>
      <c r="L47" s="11">
        <f>6056.18+884.89</f>
        <v>6941.0700000000006</v>
      </c>
      <c r="M47" s="11">
        <f t="shared" si="10"/>
        <v>2258.1499999999978</v>
      </c>
      <c r="N47" s="11">
        <f t="shared" si="3"/>
        <v>9128.1700000000019</v>
      </c>
    </row>
    <row r="48" spans="1:14" x14ac:dyDescent="0.25">
      <c r="A48" s="12" t="s">
        <v>17</v>
      </c>
      <c r="B48" s="6">
        <v>45413</v>
      </c>
      <c r="C48" s="11">
        <v>79252.72</v>
      </c>
      <c r="D48" s="11">
        <v>32582.75</v>
      </c>
      <c r="E48" s="11">
        <v>31381.54</v>
      </c>
      <c r="F48" s="11">
        <v>5500</v>
      </c>
      <c r="G48" s="11">
        <v>184.11</v>
      </c>
      <c r="H48" s="11">
        <v>4924.49</v>
      </c>
      <c r="I48" s="11">
        <v>0</v>
      </c>
      <c r="J48" s="11">
        <v>0</v>
      </c>
      <c r="K48" s="11">
        <v>4545.3999999999996</v>
      </c>
      <c r="L48" s="11">
        <f>6551.12+1238.45</f>
        <v>7789.57</v>
      </c>
      <c r="M48" s="11">
        <f t="shared" si="10"/>
        <v>8437.9700000000012</v>
      </c>
      <c r="N48" s="11">
        <f t="shared" si="3"/>
        <v>15288.43</v>
      </c>
    </row>
    <row r="49" spans="1:14" x14ac:dyDescent="0.25">
      <c r="A49" s="12" t="s">
        <v>17</v>
      </c>
      <c r="B49" s="6">
        <v>45444</v>
      </c>
      <c r="C49" s="11">
        <v>63918</v>
      </c>
      <c r="D49" s="11">
        <v>24249.9</v>
      </c>
      <c r="E49" s="11">
        <v>20979.94</v>
      </c>
      <c r="F49" s="11">
        <v>5500</v>
      </c>
      <c r="G49" s="11">
        <v>1175.54</v>
      </c>
      <c r="H49" s="11">
        <v>884.2</v>
      </c>
      <c r="I49" s="11">
        <v>0</v>
      </c>
      <c r="J49" s="11">
        <v>0</v>
      </c>
      <c r="K49" s="11">
        <v>2888.29</v>
      </c>
      <c r="L49" s="11">
        <f>6095.64+1121.06</f>
        <v>7216.7000000000007</v>
      </c>
      <c r="M49" s="11">
        <f t="shared" si="10"/>
        <v>3315.2099999999991</v>
      </c>
      <c r="N49" s="11">
        <f t="shared" si="3"/>
        <v>18688.16</v>
      </c>
    </row>
    <row r="50" spans="1:14" x14ac:dyDescent="0.25">
      <c r="A50" s="12" t="s">
        <v>17</v>
      </c>
      <c r="B50" s="6">
        <v>45474</v>
      </c>
      <c r="C50" s="11">
        <v>54238.69</v>
      </c>
      <c r="D50" s="11">
        <v>21305.1</v>
      </c>
      <c r="E50" s="11">
        <v>21727.61</v>
      </c>
      <c r="F50" s="11">
        <v>5500</v>
      </c>
      <c r="G50" s="11">
        <v>179.8</v>
      </c>
      <c r="H50" s="11">
        <v>809.9</v>
      </c>
      <c r="I50" s="11">
        <v>0</v>
      </c>
      <c r="J50" s="11">
        <v>0</v>
      </c>
      <c r="K50" s="11">
        <v>3418.58</v>
      </c>
      <c r="L50" s="11">
        <f>8430.69+752.17</f>
        <v>9182.86</v>
      </c>
      <c r="M50" s="11">
        <f t="shared" si="10"/>
        <v>2636.4700000000012</v>
      </c>
      <c r="N50" s="11">
        <f t="shared" si="3"/>
        <v>11205.980000000003</v>
      </c>
    </row>
    <row r="51" spans="1:14" x14ac:dyDescent="0.25">
      <c r="A51" s="13" t="s">
        <v>18</v>
      </c>
      <c r="B51" s="9">
        <v>45413</v>
      </c>
      <c r="C51" s="10">
        <v>53314.22</v>
      </c>
      <c r="D51" s="10">
        <v>20516.25</v>
      </c>
      <c r="E51" s="10">
        <f>148704.94</f>
        <v>148704.94</v>
      </c>
      <c r="F51" s="10">
        <v>0</v>
      </c>
      <c r="G51" s="10">
        <v>537.53</v>
      </c>
      <c r="H51" s="10">
        <f>122303+15000</f>
        <v>137303</v>
      </c>
      <c r="I51" s="10">
        <v>252.89</v>
      </c>
      <c r="J51" s="10">
        <v>0</v>
      </c>
      <c r="K51" s="10">
        <v>0</v>
      </c>
      <c r="L51" s="10">
        <f>3620+699.16</f>
        <v>4319.16</v>
      </c>
      <c r="M51" s="10">
        <f t="shared" si="10"/>
        <v>6292.359999999986</v>
      </c>
      <c r="N51" s="10">
        <f>C51-D51-SUM(F51:M51)</f>
        <v>-115906.97</v>
      </c>
    </row>
    <row r="52" spans="1:14" x14ac:dyDescent="0.25">
      <c r="A52" s="8" t="s">
        <v>18</v>
      </c>
      <c r="B52" s="9">
        <v>45444</v>
      </c>
      <c r="C52" s="10">
        <v>50002.42</v>
      </c>
      <c r="D52" s="10">
        <v>19526.830000000002</v>
      </c>
      <c r="E52" s="10">
        <v>21949.09</v>
      </c>
      <c r="F52" s="10">
        <v>0</v>
      </c>
      <c r="G52" s="10">
        <v>562.1</v>
      </c>
      <c r="H52" s="10">
        <v>2886.96</v>
      </c>
      <c r="I52" s="10">
        <v>2427.5</v>
      </c>
      <c r="J52" s="10">
        <v>2000</v>
      </c>
      <c r="K52" s="10">
        <v>3654.08</v>
      </c>
      <c r="L52" s="10">
        <f>6665.79+1174.95</f>
        <v>7840.74</v>
      </c>
      <c r="M52" s="10">
        <f t="shared" si="10"/>
        <v>2577.7100000000028</v>
      </c>
      <c r="N52" s="10">
        <f t="shared" si="3"/>
        <v>8526.4999999999964</v>
      </c>
    </row>
    <row r="53" spans="1:14" x14ac:dyDescent="0.25">
      <c r="A53" s="8" t="s">
        <v>18</v>
      </c>
      <c r="B53" s="9">
        <v>45474</v>
      </c>
      <c r="C53" s="10">
        <v>50621.51</v>
      </c>
      <c r="D53" s="10">
        <v>20539.59</v>
      </c>
      <c r="E53" s="10">
        <v>20230</v>
      </c>
      <c r="F53" s="10">
        <v>4000</v>
      </c>
      <c r="G53" s="10">
        <v>853.73</v>
      </c>
      <c r="H53" s="10">
        <v>1101</v>
      </c>
      <c r="I53" s="10">
        <v>350</v>
      </c>
      <c r="J53" s="10">
        <v>2000</v>
      </c>
      <c r="K53" s="10">
        <v>2803.25</v>
      </c>
      <c r="L53" s="10">
        <f>6382.51+1273.28</f>
        <v>7655.79</v>
      </c>
      <c r="M53" s="10">
        <f>E53-SUM(F53:L53)</f>
        <v>1466.2299999999996</v>
      </c>
      <c r="N53" s="10">
        <f t="shared" si="3"/>
        <v>9851.9200000000019</v>
      </c>
    </row>
    <row r="58" spans="1:14" x14ac:dyDescent="0.25">
      <c r="C58" s="18">
        <f>SUM(C52:C53)</f>
        <v>100623.93</v>
      </c>
      <c r="D58" s="18">
        <f>SUM(N52:N53)</f>
        <v>18378.419999999998</v>
      </c>
      <c r="E58" s="1">
        <f>D58/C58</f>
        <v>0.18264462538881157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CBE4D-E8EA-40F3-9507-FE2691C3A383}">
  <dimension ref="A1:C21"/>
  <sheetViews>
    <sheetView workbookViewId="0">
      <selection activeCell="C21" sqref="A1:C21"/>
    </sheetView>
  </sheetViews>
  <sheetFormatPr defaultRowHeight="15" x14ac:dyDescent="0.25"/>
  <cols>
    <col min="3" max="3" width="14.28515625" bestFit="1" customWidth="1"/>
  </cols>
  <sheetData>
    <row r="1" spans="1:3" x14ac:dyDescent="0.25">
      <c r="A1" s="8" t="s">
        <v>16</v>
      </c>
      <c r="B1" s="9">
        <v>45200</v>
      </c>
      <c r="C1" s="10">
        <v>-17032.700000000004</v>
      </c>
    </row>
    <row r="2" spans="1:3" x14ac:dyDescent="0.25">
      <c r="A2" s="8" t="s">
        <v>16</v>
      </c>
      <c r="B2" s="9">
        <v>45231</v>
      </c>
      <c r="C2" s="10">
        <v>34034.679999999993</v>
      </c>
    </row>
    <row r="3" spans="1:3" x14ac:dyDescent="0.25">
      <c r="A3" s="8" t="s">
        <v>16</v>
      </c>
      <c r="B3" s="9">
        <v>45261</v>
      </c>
      <c r="C3" s="10">
        <v>62450.030000000006</v>
      </c>
    </row>
    <row r="4" spans="1:3" x14ac:dyDescent="0.25">
      <c r="A4" s="8" t="s">
        <v>16</v>
      </c>
      <c r="B4" s="9">
        <v>45292</v>
      </c>
      <c r="C4" s="10">
        <v>5815.7400000000052</v>
      </c>
    </row>
    <row r="5" spans="1:3" x14ac:dyDescent="0.25">
      <c r="A5" s="8" t="s">
        <v>16</v>
      </c>
      <c r="B5" s="9">
        <v>45323</v>
      </c>
      <c r="C5" s="10">
        <v>14494.760000000002</v>
      </c>
    </row>
    <row r="6" spans="1:3" x14ac:dyDescent="0.25">
      <c r="A6" s="8" t="s">
        <v>16</v>
      </c>
      <c r="B6" s="9">
        <v>45352</v>
      </c>
      <c r="C6" s="10">
        <v>38107.279999999992</v>
      </c>
    </row>
    <row r="7" spans="1:3" x14ac:dyDescent="0.25">
      <c r="A7" s="8" t="s">
        <v>16</v>
      </c>
      <c r="B7" s="9">
        <v>45383</v>
      </c>
      <c r="C7" s="10">
        <v>31652.830000000016</v>
      </c>
    </row>
    <row r="8" spans="1:3" x14ac:dyDescent="0.25">
      <c r="A8" s="8" t="s">
        <v>16</v>
      </c>
      <c r="B8" s="9">
        <v>45413</v>
      </c>
      <c r="C8" s="10">
        <v>55373.200000000019</v>
      </c>
    </row>
    <row r="9" spans="1:3" x14ac:dyDescent="0.25">
      <c r="A9" s="8" t="s">
        <v>16</v>
      </c>
      <c r="B9" s="9">
        <v>45444</v>
      </c>
      <c r="C9" s="10">
        <v>23608.104999999996</v>
      </c>
    </row>
    <row r="10" spans="1:3" x14ac:dyDescent="0.25">
      <c r="A10" s="8" t="s">
        <v>16</v>
      </c>
      <c r="B10" s="9">
        <v>45474</v>
      </c>
      <c r="C10" s="10">
        <v>29719.540000000008</v>
      </c>
    </row>
    <row r="12" spans="1:3" x14ac:dyDescent="0.25">
      <c r="A12" s="8" t="s">
        <v>16</v>
      </c>
      <c r="B12" s="17">
        <v>44835</v>
      </c>
      <c r="C12" s="16">
        <v>29567.790000000008</v>
      </c>
    </row>
    <row r="13" spans="1:3" x14ac:dyDescent="0.25">
      <c r="A13" s="14" t="s">
        <v>16</v>
      </c>
      <c r="B13" s="15">
        <v>44866</v>
      </c>
      <c r="C13" s="16">
        <v>35369.599999999999</v>
      </c>
    </row>
    <row r="14" spans="1:3" x14ac:dyDescent="0.25">
      <c r="A14" s="14" t="s">
        <v>16</v>
      </c>
      <c r="B14" s="15">
        <v>44896</v>
      </c>
      <c r="C14" s="16">
        <v>59757.81</v>
      </c>
    </row>
    <row r="15" spans="1:3" x14ac:dyDescent="0.25">
      <c r="A15" s="14" t="s">
        <v>16</v>
      </c>
      <c r="B15" s="15">
        <v>44927</v>
      </c>
      <c r="C15" s="16">
        <v>24494.180000000008</v>
      </c>
    </row>
    <row r="16" spans="1:3" x14ac:dyDescent="0.25">
      <c r="A16" s="14" t="s">
        <v>16</v>
      </c>
      <c r="B16" s="15">
        <v>44958</v>
      </c>
      <c r="C16" s="16">
        <v>11097.639999999992</v>
      </c>
    </row>
    <row r="17" spans="1:3" x14ac:dyDescent="0.25">
      <c r="A17" s="14" t="s">
        <v>16</v>
      </c>
      <c r="B17" s="15">
        <v>44986</v>
      </c>
      <c r="C17" s="16">
        <v>24170.460000000006</v>
      </c>
    </row>
    <row r="18" spans="1:3" x14ac:dyDescent="0.25">
      <c r="A18" s="14" t="s">
        <v>16</v>
      </c>
      <c r="B18" s="15">
        <v>45017</v>
      </c>
      <c r="C18" s="16">
        <v>17016.009999999995</v>
      </c>
    </row>
    <row r="19" spans="1:3" x14ac:dyDescent="0.25">
      <c r="A19" s="14" t="s">
        <v>16</v>
      </c>
      <c r="B19" s="15">
        <v>45047</v>
      </c>
      <c r="C19" s="16">
        <v>32069.869999999995</v>
      </c>
    </row>
    <row r="20" spans="1:3" x14ac:dyDescent="0.25">
      <c r="A20" s="14" t="s">
        <v>16</v>
      </c>
      <c r="B20" s="15">
        <v>45078</v>
      </c>
      <c r="C20" s="16">
        <v>27383.930000000008</v>
      </c>
    </row>
    <row r="21" spans="1:3" x14ac:dyDescent="0.25">
      <c r="A21" s="14" t="s">
        <v>16</v>
      </c>
      <c r="B21" s="15">
        <v>45108</v>
      </c>
      <c r="C21" s="16">
        <v>9815.9899999999907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DCC2-A3F0-4ADC-B941-5DEC759AAC32}">
  <dimension ref="A1:N10"/>
  <sheetViews>
    <sheetView workbookViewId="0">
      <selection activeCell="C2" sqref="C2:C10"/>
    </sheetView>
  </sheetViews>
  <sheetFormatPr defaultRowHeight="15" x14ac:dyDescent="0.25"/>
  <sheetData>
    <row r="1" spans="1:14" ht="7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19</v>
      </c>
    </row>
    <row r="2" spans="1:14" x14ac:dyDescent="0.25">
      <c r="A2" s="12" t="s">
        <v>17</v>
      </c>
      <c r="B2" s="6">
        <v>45231</v>
      </c>
      <c r="C2" s="11">
        <v>31861.59</v>
      </c>
      <c r="D2" s="11">
        <v>12559.64</v>
      </c>
      <c r="E2" s="11">
        <v>17857</v>
      </c>
      <c r="F2" s="11">
        <v>5500</v>
      </c>
      <c r="G2" s="11">
        <v>183.99</v>
      </c>
      <c r="H2" s="11">
        <v>858</v>
      </c>
      <c r="I2" s="11">
        <v>2857.07</v>
      </c>
      <c r="J2" s="11">
        <v>300</v>
      </c>
      <c r="K2" s="11">
        <v>864.39</v>
      </c>
      <c r="L2" s="11">
        <v>3789.3900000000003</v>
      </c>
      <c r="M2" s="11">
        <v>3504.16</v>
      </c>
      <c r="N2" s="11">
        <v>1444.9500000000007</v>
      </c>
    </row>
    <row r="3" spans="1:14" x14ac:dyDescent="0.25">
      <c r="A3" s="12" t="s">
        <v>17</v>
      </c>
      <c r="B3" s="6">
        <v>45261</v>
      </c>
      <c r="C3" s="11">
        <v>116335.75</v>
      </c>
      <c r="D3" s="11">
        <v>48406.17</v>
      </c>
      <c r="E3" s="11">
        <v>22441.64</v>
      </c>
      <c r="F3" s="11">
        <v>5500</v>
      </c>
      <c r="G3" s="11">
        <v>1493.42</v>
      </c>
      <c r="H3" s="11">
        <v>751.3</v>
      </c>
      <c r="I3" s="11">
        <v>4175.92</v>
      </c>
      <c r="J3" s="11">
        <v>300</v>
      </c>
      <c r="K3" s="11">
        <v>2940</v>
      </c>
      <c r="L3" s="11">
        <v>4033.77</v>
      </c>
      <c r="M3" s="11">
        <v>3247.2299999999996</v>
      </c>
      <c r="N3" s="11">
        <v>45487.94</v>
      </c>
    </row>
    <row r="4" spans="1:14" x14ac:dyDescent="0.25">
      <c r="A4" s="12" t="s">
        <v>17</v>
      </c>
      <c r="B4" s="6">
        <v>45292</v>
      </c>
      <c r="C4" s="11">
        <v>34274.65</v>
      </c>
      <c r="D4" s="11">
        <v>13788.23</v>
      </c>
      <c r="E4" s="11">
        <v>22516.82</v>
      </c>
      <c r="F4" s="11">
        <v>5500</v>
      </c>
      <c r="G4" s="11">
        <v>1320.6</v>
      </c>
      <c r="H4" s="11">
        <v>1124.24</v>
      </c>
      <c r="I4" s="11">
        <v>2661.43</v>
      </c>
      <c r="J4" s="11">
        <v>300</v>
      </c>
      <c r="K4" s="11">
        <v>1902.24</v>
      </c>
      <c r="L4" s="11">
        <v>7661.78</v>
      </c>
      <c r="M4" s="11">
        <v>2046.5299999999988</v>
      </c>
      <c r="N4" s="11">
        <v>-2030.3999999999978</v>
      </c>
    </row>
    <row r="5" spans="1:14" x14ac:dyDescent="0.25">
      <c r="A5" s="12" t="s">
        <v>17</v>
      </c>
      <c r="B5" s="6">
        <v>45323</v>
      </c>
      <c r="C5" s="11">
        <v>35094.6</v>
      </c>
      <c r="D5" s="11">
        <v>13470.1</v>
      </c>
      <c r="E5" s="11">
        <v>21750.19</v>
      </c>
      <c r="F5" s="11">
        <v>5500</v>
      </c>
      <c r="G5" s="11">
        <v>183.87</v>
      </c>
      <c r="H5" s="11">
        <v>69</v>
      </c>
      <c r="I5" s="11">
        <v>7196.46</v>
      </c>
      <c r="J5" s="11">
        <v>300</v>
      </c>
      <c r="K5" s="11">
        <v>1773.85</v>
      </c>
      <c r="L5" s="11">
        <v>5128.41</v>
      </c>
      <c r="M5" s="11">
        <v>1598.5999999999985</v>
      </c>
      <c r="N5" s="11">
        <v>-125.68999999999869</v>
      </c>
    </row>
    <row r="6" spans="1:14" x14ac:dyDescent="0.25">
      <c r="A6" s="12" t="s">
        <v>17</v>
      </c>
      <c r="B6" s="6">
        <v>45352</v>
      </c>
      <c r="C6" s="11">
        <v>44023.95</v>
      </c>
      <c r="D6" s="11">
        <v>16216.79</v>
      </c>
      <c r="E6" s="11">
        <v>23162.26</v>
      </c>
      <c r="F6" s="11">
        <v>5563</v>
      </c>
      <c r="G6" s="11">
        <v>1312.34</v>
      </c>
      <c r="H6" s="11">
        <v>5091.05</v>
      </c>
      <c r="I6" s="11">
        <v>0</v>
      </c>
      <c r="J6" s="11">
        <v>0</v>
      </c>
      <c r="K6" s="11">
        <v>2603.3200000000002</v>
      </c>
      <c r="L6" s="11">
        <v>6481.9299999999994</v>
      </c>
      <c r="M6" s="11">
        <v>2110.619999999999</v>
      </c>
      <c r="N6" s="11">
        <v>4644.8999999999978</v>
      </c>
    </row>
    <row r="7" spans="1:14" x14ac:dyDescent="0.25">
      <c r="A7" s="12" t="s">
        <v>17</v>
      </c>
      <c r="B7" s="6">
        <v>45383</v>
      </c>
      <c r="C7" s="11">
        <v>48297.5</v>
      </c>
      <c r="D7" s="11">
        <v>18635.55</v>
      </c>
      <c r="E7" s="11">
        <v>20533.78</v>
      </c>
      <c r="F7" s="11">
        <v>5500</v>
      </c>
      <c r="G7" s="11">
        <v>1307.08</v>
      </c>
      <c r="H7" s="11">
        <v>981.91</v>
      </c>
      <c r="I7" s="11">
        <v>1000</v>
      </c>
      <c r="J7" s="11">
        <v>0</v>
      </c>
      <c r="K7" s="11">
        <v>2545.5700000000002</v>
      </c>
      <c r="L7" s="11">
        <v>6941.0700000000006</v>
      </c>
      <c r="M7" s="11">
        <v>2258.1499999999978</v>
      </c>
      <c r="N7" s="11">
        <v>9128.1700000000019</v>
      </c>
    </row>
    <row r="8" spans="1:14" x14ac:dyDescent="0.25">
      <c r="A8" s="12" t="s">
        <v>17</v>
      </c>
      <c r="B8" s="6">
        <v>45413</v>
      </c>
      <c r="C8" s="11">
        <v>79252.72</v>
      </c>
      <c r="D8" s="11">
        <v>32582.75</v>
      </c>
      <c r="E8" s="11">
        <v>31381.54</v>
      </c>
      <c r="F8" s="11">
        <v>5500</v>
      </c>
      <c r="G8" s="11">
        <v>184.11</v>
      </c>
      <c r="H8" s="11">
        <v>4924.49</v>
      </c>
      <c r="I8" s="11">
        <v>0</v>
      </c>
      <c r="J8" s="11">
        <v>0</v>
      </c>
      <c r="K8" s="11">
        <v>4545.3999999999996</v>
      </c>
      <c r="L8" s="11">
        <v>7789.57</v>
      </c>
      <c r="M8" s="11">
        <v>8437.9700000000012</v>
      </c>
      <c r="N8" s="11">
        <v>15288.43</v>
      </c>
    </row>
    <row r="9" spans="1:14" x14ac:dyDescent="0.25">
      <c r="A9" s="12" t="s">
        <v>17</v>
      </c>
      <c r="B9" s="6">
        <v>45444</v>
      </c>
      <c r="C9" s="11">
        <v>63918</v>
      </c>
      <c r="D9" s="11">
        <v>24249.9</v>
      </c>
      <c r="E9" s="11">
        <v>20979.94</v>
      </c>
      <c r="F9" s="11">
        <v>5500</v>
      </c>
      <c r="G9" s="11">
        <v>1175.54</v>
      </c>
      <c r="H9" s="11">
        <v>884.2</v>
      </c>
      <c r="I9" s="11">
        <v>0</v>
      </c>
      <c r="J9" s="11">
        <v>0</v>
      </c>
      <c r="K9" s="11">
        <v>2888.29</v>
      </c>
      <c r="L9" s="11">
        <v>7216.7000000000007</v>
      </c>
      <c r="M9" s="11">
        <v>3315.2099999999991</v>
      </c>
      <c r="N9" s="11">
        <v>18688.16</v>
      </c>
    </row>
    <row r="10" spans="1:14" x14ac:dyDescent="0.25">
      <c r="A10" s="12" t="s">
        <v>17</v>
      </c>
      <c r="B10" s="6">
        <v>45474</v>
      </c>
      <c r="C10" s="11">
        <v>54238.69</v>
      </c>
      <c r="D10" s="11">
        <v>21305.1</v>
      </c>
      <c r="E10" s="11">
        <v>21727.61</v>
      </c>
      <c r="F10" s="11">
        <v>5500</v>
      </c>
      <c r="G10" s="11">
        <v>179.8</v>
      </c>
      <c r="H10" s="11">
        <v>809.9</v>
      </c>
      <c r="I10" s="11">
        <v>0</v>
      </c>
      <c r="J10" s="11">
        <v>0</v>
      </c>
      <c r="K10" s="11">
        <v>3418.58</v>
      </c>
      <c r="L10" s="11">
        <v>9182.86</v>
      </c>
      <c r="M10" s="11">
        <v>2636.4700000000012</v>
      </c>
      <c r="N10" s="11">
        <v>11205.980000000003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Lima</dc:creator>
  <cp:lastModifiedBy>Matheus Lima</cp:lastModifiedBy>
  <dcterms:created xsi:type="dcterms:W3CDTF">2024-08-26T16:41:51Z</dcterms:created>
  <dcterms:modified xsi:type="dcterms:W3CDTF">2024-08-27T03:04:34Z</dcterms:modified>
</cp:coreProperties>
</file>