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 Ferreira\Downloads\"/>
    </mc:Choice>
  </mc:AlternateContent>
  <bookViews>
    <workbookView xWindow="0" yWindow="0" windowWidth="20490" windowHeight="7800" tabRatio="901" activeTab="5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H3" i="14"/>
  <c r="B9" i="11" l="1"/>
  <c r="B9" i="15"/>
  <c r="C9" i="15"/>
  <c r="D9" i="15"/>
  <c r="B17" i="9" l="1"/>
  <c r="B16" i="9"/>
  <c r="B15" i="9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2" i="14"/>
  <c r="F12" i="8"/>
  <c r="F11" i="8"/>
  <c r="F10" i="8"/>
  <c r="F9" i="8"/>
  <c r="F8" i="8"/>
  <c r="F7" i="8"/>
  <c r="F6" i="8"/>
  <c r="F5" i="8"/>
  <c r="F4" i="8"/>
  <c r="F3" i="8"/>
  <c r="F2" i="8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B6" i="8"/>
  <c r="B7" i="7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<sst xmlns="http://schemas.openxmlformats.org/spreadsheetml/2006/main" count="719" uniqueCount="268">
  <si>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</si>
  <si>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</si>
  <si>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</si>
  <si>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</si>
  <si>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</si>
  <si>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</si>
  <si>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</si>
  <si>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</si>
  <si>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</si>
  <si>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</si>
  <si>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</si>
  <si>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</si>
  <si>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</si>
  <si>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</si>
  <si>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</si>
  <si>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</si>
  <si>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</si>
  <si>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</si>
  <si>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</si>
  <si>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</si>
  <si>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</si>
  <si>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</si>
  <si>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</si>
  <si>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</si>
  <si>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</si>
  <si>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</si>
  <si>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</si>
  <si>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</si>
  <si>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</si>
  <si>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</si>
  <si>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</si>
  <si>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</si>
  <si>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</si>
  <si>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</si>
  <si>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</si>
  <si>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</si>
  <si>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</si>
  <si>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</si>
  <si>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</si>
  <si>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</si>
  <si>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</si>
  <si>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</si>
  <si>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</si>
  <si>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</si>
  <si>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</si>
  <si>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</si>
  <si>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</si>
  <si>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</si>
  <si>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</si>
  <si>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</si>
  <si>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</si>
  <si>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</si>
  <si>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</si>
  <si>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</si>
  <si>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</si>
  <si>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</si>
  <si>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</si>
  <si>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</si>
  <si>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</si>
  <si>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</si>
  <si>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</si>
  <si>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</si>
  <si>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</si>
  <si>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</si>
  <si>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</si>
  <si>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</si>
  <si>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</si>
  <si>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</si>
  <si>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</si>
  <si>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</si>
  <si>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</si>
  <si>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</si>
  <si>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</si>
  <si>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</si>
  <si>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</si>
  <si>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</si>
  <si>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</si>
  <si>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</si>
  <si>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</si>
  <si>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</si>
  <si>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</si>
  <si>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</si>
  <si>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</si>
  <si>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</si>
  <si>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</si>
  <si>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</si>
  <si>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</si>
  <si>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</si>
  <si>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</si>
  <si>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</si>
  <si>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</si>
  <si>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</si>
  <si>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</si>
  <si>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</si>
  <si>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</si>
  <si>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</si>
  <si>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</si>
  <si>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</si>
  <si>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</si>
  <si>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</si>
  <si>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</si>
  <si>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</si>
  <si>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</si>
  <si>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</si>
  <si>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</si>
  <si>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</si>
  <si>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</si>
  <si>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</si>
  <si>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</si>
  <si>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</si>
  <si>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</si>
  <si>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</si>
  <si>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</si>
  <si>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</si>
  <si>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</si>
  <si>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</si>
  <si>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</si>
  <si>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</si>
  <si>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</si>
  <si>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</si>
  <si>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</si>
  <si>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</si>
  <si>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</si>
  <si>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</si>
  <si>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</si>
  <si>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</si>
  <si>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</si>
  <si>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</si>
  <si>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</si>
  <si>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</si>
  <si>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</si>
  <si>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</si>
  <si>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</si>
  <si>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</si>
  <si>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</si>
  <si>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</si>
  <si>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</si>
  <si>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</si>
  <si>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</si>
  <si>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</si>
  <si>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</si>
  <si>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</si>
  <si>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</si>
  <si>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</si>
  <si>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</si>
  <si>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</si>
  <si>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</si>
  <si>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</si>
  <si>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</si>
  <si>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</si>
  <si>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</si>
  <si>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</si>
  <si>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</si>
  <si>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</si>
  <si>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</si>
  <si>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</si>
  <si>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</si>
  <si>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</si>
  <si>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</si>
  <si>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</si>
  <si>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</si>
  <si>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</si>
  <si>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</si>
  <si>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</si>
  <si>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c) P(X5) e K=1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</si>
  <si>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</si>
  <si>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</si>
  <si>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</si>
  <si>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</si>
  <si>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</si>
  <si>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</si>
  <si>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</si>
  <si>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</si>
  <si>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</si>
  <si>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</si>
  <si>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</si>
  <si>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</si>
  <si>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</si>
  <si>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</si>
  <si>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</si>
  <si>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</si>
  <si>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</si>
  <si>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</si>
  <si>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</si>
  <si>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</si>
  <si>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</si>
  <si>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</si>
  <si>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</si>
  <si>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</si>
  <si>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</si>
  <si>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</si>
  <si>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</si>
  <si>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</si>
  <si>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</si>
  <si>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</si>
  <si>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</si>
  <si>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</si>
  <si>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</si>
  <si>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</si>
  <si>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</si>
  <si>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</si>
  <si>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</si>
  <si>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</si>
  <si>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</si>
  <si>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</si>
  <si>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</si>
  <si>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</si>
  <si>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</si>
  <si>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</si>
  <si>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</si>
  <si>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</si>
  <si>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</si>
  <si>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</si>
  <si>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</si>
  <si>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</si>
  <si>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</si>
  <si>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</si>
  <si>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</si>
  <si>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</si>
  <si>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</si>
  <si>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</si>
  <si>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</si>
  <si>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</si>
  <si>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</si>
  <si>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</si>
  <si>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</si>
  <si>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</si>
  <si>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</si>
  <si>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</si>
  <si>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</si>
  <si>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</si>
  <si>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</si>
  <si>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</si>
  <si>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</si>
  <si>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</si>
  <si>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</si>
  <si>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</si>
  <si>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</si>
  <si>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</si>
  <si>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</si>
  <si>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</si>
  <si>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</si>
  <si>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</si>
  <si>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</si>
  <si>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</si>
  <si>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</si>
  <si>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</si>
  <si>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</si>
  <si>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</si>
  <si>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</si>
  <si>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</si>
  <si>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</si>
  <si>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</si>
  <si>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</si>
  <si>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</si>
  <si>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</si>
  <si>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</si>
  <si>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</si>
  <si>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</si>
  <si>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</si>
  <si>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</si>
  <si>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</si>
  <si>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</si>
  <si>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</si>
  <si>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</si>
  <si>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</si>
  <si>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</si>
  <si>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d) P(k=5)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</si>
</sst>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2" fontId="0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0" fontId="0" fillId="0" borderId="2" xfId="0" applyBorder="1"/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1.3309999999999999E-3</c:v>
                </c:pt>
                <c:pt idx="3">
                  <c:v>3.5537699999999999E-3</c:v>
                </c:pt>
                <c:pt idx="4">
                  <c:v>6.3257106000000002E-3</c:v>
                </c:pt>
                <c:pt idx="5">
                  <c:v>9.3831373900000008E-3</c:v>
                </c:pt>
                <c:pt idx="6">
                  <c:v>1.2526488415650003E-2</c:v>
                </c:pt>
                <c:pt idx="7">
                  <c:v>1.5608004565899902E-2</c:v>
                </c:pt>
                <c:pt idx="8">
                  <c:v>1.8521498751534547E-2</c:v>
                </c:pt>
                <c:pt idx="9">
                  <c:v>2.119388642854168E-2</c:v>
                </c:pt>
                <c:pt idx="10">
                  <c:v>2.3578198651752619E-2</c:v>
                </c:pt>
                <c:pt idx="11">
                  <c:v>2.564784053340646E-2</c:v>
                </c:pt>
                <c:pt idx="12">
                  <c:v>2.7391893689678103E-2</c:v>
                </c:pt>
                <c:pt idx="13">
                  <c:v>2.8811291817234148E-2</c:v>
                </c:pt>
                <c:pt idx="14">
                  <c:v>2.9915724670228128E-2</c:v>
                </c:pt>
                <c:pt idx="15">
                  <c:v>3.0721148026734264E-2</c:v>
                </c:pt>
                <c:pt idx="16">
                  <c:v>3.1247796278621145E-2</c:v>
                </c:pt>
                <c:pt idx="17">
                  <c:v>3.1518610513035859E-2</c:v>
                </c:pt>
                <c:pt idx="18">
                  <c:v>3.1558008776177156E-2</c:v>
                </c:pt>
                <c:pt idx="19">
                  <c:v>3.1390936965009157E-2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showGridLines="0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topLeftCell="A10" zoomScale="85" zoomScaleNormal="85" workbookViewId="0">
      <selection activeCell="G2" sqref="G2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95" t="s">
        <v>138</v>
      </c>
      <c r="B1" s="196"/>
      <c r="F1" s="31" t="s">
        <v>136</v>
      </c>
      <c r="G1" s="2" t="s">
        <v>137</v>
      </c>
    </row>
    <row r="2" spans="1:7" x14ac:dyDescent="0.25">
      <c r="A2" s="54" t="s">
        <v>131</v>
      </c>
      <c r="B2" s="51">
        <v>7</v>
      </c>
      <c r="F2" s="76">
        <v>-5</v>
      </c>
      <c r="G2" s="70">
        <f t="shared" ref="G2:G52" si="0">_xlfn.T.DIST(F2,$B$2,FALSE)</f>
        <v>8.8154265732600637E-4</v>
      </c>
    </row>
    <row r="3" spans="1:7" x14ac:dyDescent="0.25">
      <c r="A3" s="59"/>
      <c r="B3" s="60"/>
      <c r="F3" s="76">
        <v>-4.9000000000000004</v>
      </c>
      <c r="G3" s="70">
        <f t="shared" si="0"/>
        <v>9.9962286331650783E-4</v>
      </c>
    </row>
    <row r="4" spans="1:7" x14ac:dyDescent="0.25">
      <c r="F4" s="76">
        <v>-4.8</v>
      </c>
      <c r="G4" s="70">
        <f t="shared" si="0"/>
        <v>1.1351245913782556E-3</v>
      </c>
    </row>
    <row r="5" spans="1:7" x14ac:dyDescent="0.25">
      <c r="A5" s="4" t="s">
        <v>134</v>
      </c>
      <c r="B5" s="4" t="s">
        <v>135</v>
      </c>
      <c r="F5" s="76">
        <v>-4.7</v>
      </c>
      <c r="G5" s="70">
        <f t="shared" si="0"/>
        <v>1.2908279505215324E-3</v>
      </c>
    </row>
    <row r="6" spans="1:7" x14ac:dyDescent="0.25">
      <c r="A6" s="57" t="s">
        <v>139</v>
      </c>
      <c r="B6" s="71">
        <f>_xlfn.T.DIST.RT(2.5,$B$2)</f>
        <v>2.049610929287644E-2</v>
      </c>
      <c r="F6" s="76">
        <v>-4.5999999999999996</v>
      </c>
      <c r="G6" s="70">
        <f t="shared" si="0"/>
        <v>1.4699841221482964E-3</v>
      </c>
    </row>
    <row r="7" spans="1:7" x14ac:dyDescent="0.25">
      <c r="A7" s="46" t="s">
        <v>261</v>
      </c>
      <c r="B7" s="48">
        <f>_xlfn.T.DIST(-2.5,$B$2,TRUE)</f>
        <v>2.049610929287644E-2</v>
      </c>
      <c r="C7" s="129" t="s">
        <v>262</v>
      </c>
      <c r="D7" s="129" t="s">
        <v>263</v>
      </c>
      <c r="F7" s="76">
        <v>-4.5</v>
      </c>
      <c r="G7" s="70">
        <f t="shared" si="0"/>
        <v>1.6763983288416314E-3</v>
      </c>
    </row>
    <row r="8" spans="1:7" x14ac:dyDescent="0.25">
      <c r="A8" s="46" t="s">
        <v>140</v>
      </c>
      <c r="B8" s="48">
        <f>D8-C8</f>
        <v>0.78188200430840826</v>
      </c>
      <c r="C8" s="48">
        <f>_xlfn.T.DIST(-1,7,TRUE)</f>
        <v>0.17530833141010374</v>
      </c>
      <c r="D8" s="48">
        <f>_xlfn.T.DIST(2,7,TRUE)</f>
        <v>0.95719033571851198</v>
      </c>
      <c r="F8" s="76">
        <v>-4.4000000000000004</v>
      </c>
      <c r="G8" s="70">
        <f t="shared" si="0"/>
        <v>1.9145275578168436E-3</v>
      </c>
    </row>
    <row r="9" spans="1:7" x14ac:dyDescent="0.25">
      <c r="A9" s="46" t="s">
        <v>141</v>
      </c>
      <c r="B9" s="55">
        <f>-_xlfn.T.INV(0.05,$B$2)</f>
        <v>1.8945786050900073</v>
      </c>
      <c r="F9" s="76">
        <v>-4.3</v>
      </c>
      <c r="G9" s="70">
        <f t="shared" si="0"/>
        <v>2.1895955602305008E-3</v>
      </c>
    </row>
    <row r="10" spans="1:7" x14ac:dyDescent="0.25">
      <c r="A10" s="73"/>
      <c r="B10" s="73"/>
      <c r="C10" s="73"/>
      <c r="D10" s="73"/>
      <c r="F10" s="76">
        <v>-4.2</v>
      </c>
      <c r="G10" s="70">
        <f t="shared" si="0"/>
        <v>2.5077280151267886E-3</v>
      </c>
    </row>
    <row r="11" spans="1:7" x14ac:dyDescent="0.25">
      <c r="A11" s="74"/>
      <c r="B11" s="74"/>
      <c r="C11" s="74"/>
      <c r="D11" s="74"/>
      <c r="F11" s="76">
        <v>-4.0999999999999996</v>
      </c>
      <c r="G11" s="70">
        <f t="shared" si="0"/>
        <v>2.8761111387772408E-3</v>
      </c>
    </row>
    <row r="12" spans="1:7" x14ac:dyDescent="0.25">
      <c r="A12" s="75"/>
      <c r="B12" s="75"/>
      <c r="C12" s="74"/>
      <c r="D12" s="74"/>
      <c r="F12" s="76">
        <v>-4</v>
      </c>
      <c r="G12" s="70">
        <f t="shared" si="0"/>
        <v>3.3031774237809093E-3</v>
      </c>
    </row>
    <row r="13" spans="1:7" x14ac:dyDescent="0.25">
      <c r="A13" s="74"/>
      <c r="B13" s="75"/>
      <c r="C13" s="74"/>
      <c r="D13" s="74"/>
      <c r="F13" s="76">
        <v>-3.9</v>
      </c>
      <c r="G13" s="70">
        <f t="shared" si="0"/>
        <v>3.7988225862884395E-3</v>
      </c>
    </row>
    <row r="14" spans="1:7" x14ac:dyDescent="0.25">
      <c r="A14" s="74"/>
      <c r="B14" s="75"/>
      <c r="C14" s="74"/>
      <c r="D14" s="74"/>
      <c r="F14" s="76">
        <v>-3.8</v>
      </c>
      <c r="G14" s="70">
        <f t="shared" si="0"/>
        <v>4.3746581509088557E-3</v>
      </c>
    </row>
    <row r="15" spans="1:7" x14ac:dyDescent="0.25">
      <c r="A15" s="74"/>
      <c r="B15" s="75"/>
      <c r="C15" s="74"/>
      <c r="D15" s="74"/>
      <c r="F15" s="76">
        <v>-3.7</v>
      </c>
      <c r="G15" s="70">
        <f t="shared" si="0"/>
        <v>5.0443043616180726E-3</v>
      </c>
    </row>
    <row r="16" spans="1:7" x14ac:dyDescent="0.25">
      <c r="A16" s="74"/>
      <c r="B16" s="75"/>
      <c r="C16" s="74"/>
      <c r="D16" s="74"/>
      <c r="F16" s="76">
        <v>-3.6</v>
      </c>
      <c r="G16" s="70">
        <f t="shared" si="0"/>
        <v>5.8237282014526204E-3</v>
      </c>
    </row>
    <row r="17" spans="1:7" x14ac:dyDescent="0.25">
      <c r="A17" s="74"/>
      <c r="B17" s="74"/>
      <c r="C17" s="74"/>
      <c r="D17" s="74"/>
      <c r="F17" s="76">
        <v>-3.5</v>
      </c>
      <c r="G17" s="70">
        <f t="shared" si="0"/>
        <v>6.731631132645341E-3</v>
      </c>
    </row>
    <row r="18" spans="1:7" x14ac:dyDescent="0.25">
      <c r="A18" s="74"/>
      <c r="B18" s="74"/>
      <c r="C18" s="74"/>
      <c r="D18" s="74"/>
      <c r="F18" s="76">
        <v>-3.4</v>
      </c>
      <c r="G18" s="70">
        <f t="shared" si="0"/>
        <v>7.7898905926888128E-3</v>
      </c>
    </row>
    <row r="19" spans="1:7" x14ac:dyDescent="0.25">
      <c r="A19" s="74"/>
      <c r="B19" s="74"/>
      <c r="C19" s="74"/>
      <c r="D19" s="74"/>
      <c r="F19" s="76">
        <v>-3.3</v>
      </c>
      <c r="G19" s="70">
        <f t="shared" si="0"/>
        <v>9.0240581128863701E-3</v>
      </c>
    </row>
    <row r="20" spans="1:7" x14ac:dyDescent="0.25">
      <c r="A20" s="72"/>
      <c r="B20" s="72"/>
      <c r="C20" s="72"/>
      <c r="D20" s="72"/>
      <c r="F20" s="76">
        <v>-3.2</v>
      </c>
      <c r="G20" s="70">
        <f t="shared" si="0"/>
        <v>1.0463914917300124E-2</v>
      </c>
    </row>
    <row r="21" spans="1:7" x14ac:dyDescent="0.25">
      <c r="F21" s="76">
        <v>-3.1</v>
      </c>
      <c r="G21" s="70">
        <f t="shared" si="0"/>
        <v>1.2144082694581494E-2</v>
      </c>
    </row>
    <row r="22" spans="1:7" x14ac:dyDescent="0.25">
      <c r="F22" s="76">
        <v>-3</v>
      </c>
      <c r="G22" s="70">
        <f t="shared" si="0"/>
        <v>1.4104682517216093E-2</v>
      </c>
    </row>
    <row r="23" spans="1:7" x14ac:dyDescent="0.25">
      <c r="F23" s="76">
        <v>-2.9</v>
      </c>
      <c r="G23" s="70">
        <f t="shared" si="0"/>
        <v>1.6392028134717216E-2</v>
      </c>
    </row>
    <row r="24" spans="1:7" x14ac:dyDescent="0.25">
      <c r="F24" s="76">
        <v>-2.8</v>
      </c>
      <c r="G24" s="70">
        <f t="shared" si="0"/>
        <v>1.905933053781568E-2</v>
      </c>
    </row>
    <row r="25" spans="1:7" x14ac:dyDescent="0.25">
      <c r="F25" s="76">
        <v>-2.7</v>
      </c>
      <c r="G25" s="70">
        <f t="shared" si="0"/>
        <v>2.2167378180897482E-2</v>
      </c>
    </row>
    <row r="26" spans="1:7" x14ac:dyDescent="0.25">
      <c r="F26" s="76">
        <v>-2.6</v>
      </c>
      <c r="G26" s="70">
        <f t="shared" si="0"/>
        <v>2.5785140969772902E-2</v>
      </c>
    </row>
    <row r="27" spans="1:7" x14ac:dyDescent="0.25">
      <c r="F27" s="76">
        <v>-2.5</v>
      </c>
      <c r="G27" s="70">
        <f t="shared" si="0"/>
        <v>2.9990225589892186E-2</v>
      </c>
    </row>
    <row r="28" spans="1:7" x14ac:dyDescent="0.25">
      <c r="F28" s="76">
        <v>-2.4</v>
      </c>
      <c r="G28" s="70">
        <f t="shared" si="0"/>
        <v>3.4869084753941258E-2</v>
      </c>
    </row>
    <row r="29" spans="1:7" x14ac:dyDescent="0.25">
      <c r="F29" s="76">
        <v>-2.2999999999999998</v>
      </c>
      <c r="G29" s="70">
        <f t="shared" si="0"/>
        <v>4.0516853782231008E-2</v>
      </c>
    </row>
    <row r="30" spans="1:7" x14ac:dyDescent="0.25">
      <c r="F30" s="76">
        <v>-2.2000000000000002</v>
      </c>
      <c r="G30" s="70">
        <f t="shared" si="0"/>
        <v>4.7036655726269291E-2</v>
      </c>
    </row>
    <row r="31" spans="1:7" x14ac:dyDescent="0.25">
      <c r="F31" s="76">
        <v>-2.1</v>
      </c>
      <c r="G31" s="70">
        <f t="shared" si="0"/>
        <v>5.4538183396588481E-2</v>
      </c>
    </row>
    <row r="32" spans="1:7" x14ac:dyDescent="0.25">
      <c r="F32" s="76">
        <v>-2</v>
      </c>
      <c r="G32" s="70">
        <f t="shared" si="0"/>
        <v>6.3135337302661979E-2</v>
      </c>
    </row>
    <row r="33" spans="6:7" x14ac:dyDescent="0.25">
      <c r="F33" s="76">
        <v>-1.9</v>
      </c>
      <c r="G33" s="70">
        <f t="shared" si="0"/>
        <v>7.2942679044071451E-2</v>
      </c>
    </row>
    <row r="34" spans="6:7" x14ac:dyDescent="0.25">
      <c r="F34" s="76">
        <v>-1.8</v>
      </c>
      <c r="G34" s="70">
        <f t="shared" si="0"/>
        <v>8.4070459110832774E-2</v>
      </c>
    </row>
    <row r="35" spans="6:7" x14ac:dyDescent="0.25">
      <c r="F35" s="76">
        <v>-1.7</v>
      </c>
      <c r="G35" s="70">
        <f t="shared" si="0"/>
        <v>9.6618008002832392E-2</v>
      </c>
    </row>
    <row r="36" spans="6:7" x14ac:dyDescent="0.25">
      <c r="F36" s="76">
        <v>-1.6</v>
      </c>
      <c r="G36" s="70">
        <f t="shared" si="0"/>
        <v>0.11066535373955198</v>
      </c>
    </row>
    <row r="37" spans="6:7" x14ac:dyDescent="0.25">
      <c r="F37" s="76">
        <v>-1.5</v>
      </c>
      <c r="G37" s="70">
        <f t="shared" si="0"/>
        <v>0.1262630612859611</v>
      </c>
    </row>
    <row r="38" spans="6:7" x14ac:dyDescent="0.25">
      <c r="F38" s="76">
        <v>-1.4</v>
      </c>
      <c r="G38" s="70">
        <f t="shared" si="0"/>
        <v>0.14342049167762227</v>
      </c>
    </row>
    <row r="39" spans="6:7" x14ac:dyDescent="0.25">
      <c r="F39" s="76">
        <v>-1.3</v>
      </c>
      <c r="G39" s="70">
        <f t="shared" si="0"/>
        <v>0.16209295508952079</v>
      </c>
    </row>
    <row r="40" spans="6:7" x14ac:dyDescent="0.25">
      <c r="F40" s="76">
        <v>-1.2</v>
      </c>
      <c r="G40" s="70">
        <f t="shared" si="0"/>
        <v>0.18216857418973872</v>
      </c>
    </row>
    <row r="41" spans="6:7" x14ac:dyDescent="0.25">
      <c r="F41" s="76">
        <v>-1.1000000000000001</v>
      </c>
      <c r="G41" s="70">
        <f t="shared" si="0"/>
        <v>0.20345605401479377</v>
      </c>
    </row>
    <row r="42" spans="6:7" x14ac:dyDescent="0.25">
      <c r="F42" s="76">
        <v>-1</v>
      </c>
      <c r="G42" s="70">
        <f t="shared" si="0"/>
        <v>0.22567492027545749</v>
      </c>
    </row>
    <row r="43" spans="6:7" x14ac:dyDescent="0.25">
      <c r="F43" s="76">
        <v>-0.9</v>
      </c>
      <c r="G43" s="70">
        <f t="shared" si="0"/>
        <v>0.24845006240500964</v>
      </c>
    </row>
    <row r="44" spans="6:7" x14ac:dyDescent="0.25">
      <c r="F44" s="76">
        <v>-0.8</v>
      </c>
      <c r="G44" s="70">
        <f t="shared" si="0"/>
        <v>0.27131250511654287</v>
      </c>
    </row>
    <row r="45" spans="6:7" x14ac:dyDescent="0.25">
      <c r="F45" s="76">
        <v>-0.7</v>
      </c>
      <c r="G45" s="70">
        <f t="shared" si="0"/>
        <v>0.293708134519167</v>
      </c>
    </row>
    <row r="46" spans="6:7" x14ac:dyDescent="0.25">
      <c r="F46" s="76">
        <v>-0.6</v>
      </c>
      <c r="G46" s="70">
        <f t="shared" si="0"/>
        <v>0.31501554715928187</v>
      </c>
    </row>
    <row r="47" spans="6:7" x14ac:dyDescent="0.25">
      <c r="F47" s="76">
        <v>-0.5</v>
      </c>
      <c r="G47" s="70">
        <f t="shared" si="0"/>
        <v>0.33457325335016508</v>
      </c>
    </row>
    <row r="48" spans="6:7" x14ac:dyDescent="0.25">
      <c r="F48" s="76">
        <v>-0.4</v>
      </c>
      <c r="G48" s="70">
        <f t="shared" si="0"/>
        <v>0.35171521531491085</v>
      </c>
    </row>
    <row r="49" spans="6:7" x14ac:dyDescent="0.25">
      <c r="F49" s="76">
        <v>-0.3</v>
      </c>
      <c r="G49" s="70">
        <f t="shared" si="0"/>
        <v>0.36581230078018739</v>
      </c>
    </row>
    <row r="50" spans="6:7" x14ac:dyDescent="0.25">
      <c r="F50" s="76">
        <v>-0.2</v>
      </c>
      <c r="G50" s="70">
        <f t="shared" si="0"/>
        <v>0.3763159352699636</v>
      </c>
    </row>
    <row r="51" spans="6:7" x14ac:dyDescent="0.25">
      <c r="F51" s="76">
        <v>-0.1</v>
      </c>
      <c r="G51" s="70">
        <f t="shared" si="0"/>
        <v>0.38279933426055085</v>
      </c>
    </row>
    <row r="52" spans="6:7" x14ac:dyDescent="0.25">
      <c r="F52" s="76">
        <v>0</v>
      </c>
      <c r="G52" s="70">
        <f t="shared" si="0"/>
        <v>0.38499145083226738</v>
      </c>
    </row>
    <row r="53" spans="6:7" x14ac:dyDescent="0.25">
      <c r="F53" s="76">
        <v>0.1</v>
      </c>
      <c r="G53" s="70">
        <f>_xlfn.T.DIST(F53,$B$2,FALSE)</f>
        <v>0.38279933426055085</v>
      </c>
    </row>
    <row r="54" spans="6:7" x14ac:dyDescent="0.25">
      <c r="F54" s="76">
        <v>0.2</v>
      </c>
      <c r="G54" s="70">
        <f t="shared" ref="G54:G102" si="1">_xlfn.T.DIST(F54,$B$2,FALSE)</f>
        <v>0.3763159352699636</v>
      </c>
    </row>
    <row r="55" spans="6:7" x14ac:dyDescent="0.25">
      <c r="F55" s="76">
        <v>0.3</v>
      </c>
      <c r="G55" s="70">
        <f t="shared" si="1"/>
        <v>0.36581230078018739</v>
      </c>
    </row>
    <row r="56" spans="6:7" x14ac:dyDescent="0.25">
      <c r="F56" s="76">
        <v>0.4</v>
      </c>
      <c r="G56" s="70">
        <f t="shared" si="1"/>
        <v>0.35171521531491085</v>
      </c>
    </row>
    <row r="57" spans="6:7" x14ac:dyDescent="0.25">
      <c r="F57" s="76">
        <v>0.5</v>
      </c>
      <c r="G57" s="70">
        <f t="shared" si="1"/>
        <v>0.33457325335016508</v>
      </c>
    </row>
    <row r="58" spans="6:7" x14ac:dyDescent="0.25">
      <c r="F58" s="76">
        <v>0.6</v>
      </c>
      <c r="G58" s="70">
        <f t="shared" si="1"/>
        <v>0.31501554715928187</v>
      </c>
    </row>
    <row r="59" spans="6:7" x14ac:dyDescent="0.25">
      <c r="F59" s="76">
        <v>0.7</v>
      </c>
      <c r="G59" s="70">
        <f t="shared" si="1"/>
        <v>0.293708134519167</v>
      </c>
    </row>
    <row r="60" spans="6:7" x14ac:dyDescent="0.25">
      <c r="F60" s="76">
        <v>0.8</v>
      </c>
      <c r="G60" s="70">
        <f t="shared" si="1"/>
        <v>0.27131250511654287</v>
      </c>
    </row>
    <row r="61" spans="6:7" x14ac:dyDescent="0.25">
      <c r="F61" s="76">
        <v>0.9</v>
      </c>
      <c r="G61" s="70">
        <f t="shared" si="1"/>
        <v>0.24845006240500964</v>
      </c>
    </row>
    <row r="62" spans="6:7" x14ac:dyDescent="0.25">
      <c r="F62" s="76">
        <v>1</v>
      </c>
      <c r="G62" s="70">
        <f t="shared" si="1"/>
        <v>0.22567492027545749</v>
      </c>
    </row>
    <row r="63" spans="6:7" x14ac:dyDescent="0.25">
      <c r="F63" s="76">
        <v>1.1000000000000001</v>
      </c>
      <c r="G63" s="70">
        <f t="shared" si="1"/>
        <v>0.20345605401479377</v>
      </c>
    </row>
    <row r="64" spans="6:7" x14ac:dyDescent="0.25">
      <c r="F64" s="76">
        <v>1.2</v>
      </c>
      <c r="G64" s="70">
        <f t="shared" si="1"/>
        <v>0.18216857418973872</v>
      </c>
    </row>
    <row r="65" spans="6:7" x14ac:dyDescent="0.25">
      <c r="F65" s="76">
        <v>1.3</v>
      </c>
      <c r="G65" s="70">
        <f t="shared" si="1"/>
        <v>0.16209295508952079</v>
      </c>
    </row>
    <row r="66" spans="6:7" x14ac:dyDescent="0.25">
      <c r="F66" s="76">
        <v>1.4</v>
      </c>
      <c r="G66" s="70">
        <f t="shared" si="1"/>
        <v>0.14342049167762227</v>
      </c>
    </row>
    <row r="67" spans="6:7" x14ac:dyDescent="0.25">
      <c r="F67" s="76">
        <v>1.5</v>
      </c>
      <c r="G67" s="70">
        <f t="shared" si="1"/>
        <v>0.1262630612859611</v>
      </c>
    </row>
    <row r="68" spans="6:7" x14ac:dyDescent="0.25">
      <c r="F68" s="76">
        <v>1.6</v>
      </c>
      <c r="G68" s="70">
        <f t="shared" si="1"/>
        <v>0.11066535373955198</v>
      </c>
    </row>
    <row r="69" spans="6:7" x14ac:dyDescent="0.25">
      <c r="F69" s="76">
        <v>1.7</v>
      </c>
      <c r="G69" s="70">
        <f t="shared" si="1"/>
        <v>9.6618008002832392E-2</v>
      </c>
    </row>
    <row r="70" spans="6:7" x14ac:dyDescent="0.25">
      <c r="F70" s="76">
        <v>1.8</v>
      </c>
      <c r="G70" s="70">
        <f t="shared" si="1"/>
        <v>8.4070459110832774E-2</v>
      </c>
    </row>
    <row r="71" spans="6:7" x14ac:dyDescent="0.25">
      <c r="F71" s="76">
        <v>1.9</v>
      </c>
      <c r="G71" s="70">
        <f t="shared" si="1"/>
        <v>7.2942679044071451E-2</v>
      </c>
    </row>
    <row r="72" spans="6:7" x14ac:dyDescent="0.25">
      <c r="F72" s="76">
        <v>2</v>
      </c>
      <c r="G72" s="70">
        <f t="shared" si="1"/>
        <v>6.3135337302661979E-2</v>
      </c>
    </row>
    <row r="73" spans="6:7" x14ac:dyDescent="0.25">
      <c r="F73" s="76">
        <v>2.1</v>
      </c>
      <c r="G73" s="70">
        <f t="shared" si="1"/>
        <v>5.4538183396588481E-2</v>
      </c>
    </row>
    <row r="74" spans="6:7" x14ac:dyDescent="0.25">
      <c r="F74" s="76">
        <v>2.2000000000000002</v>
      </c>
      <c r="G74" s="70">
        <f t="shared" si="1"/>
        <v>4.7036655726269291E-2</v>
      </c>
    </row>
    <row r="75" spans="6:7" x14ac:dyDescent="0.25">
      <c r="F75" s="76">
        <v>2.2999999999999998</v>
      </c>
      <c r="G75" s="70">
        <f t="shared" si="1"/>
        <v>4.0516853782231008E-2</v>
      </c>
    </row>
    <row r="76" spans="6:7" x14ac:dyDescent="0.25">
      <c r="F76" s="76">
        <v>2.4</v>
      </c>
      <c r="G76" s="70">
        <f t="shared" si="1"/>
        <v>3.4869084753941258E-2</v>
      </c>
    </row>
    <row r="77" spans="6:7" x14ac:dyDescent="0.25">
      <c r="F77" s="76">
        <v>2.5</v>
      </c>
      <c r="G77" s="70">
        <f t="shared" si="1"/>
        <v>2.9990225589892186E-2</v>
      </c>
    </row>
    <row r="78" spans="6:7" x14ac:dyDescent="0.25">
      <c r="F78" s="76">
        <v>2.6</v>
      </c>
      <c r="G78" s="70">
        <f t="shared" si="1"/>
        <v>2.5785140969772902E-2</v>
      </c>
    </row>
    <row r="79" spans="6:7" x14ac:dyDescent="0.25">
      <c r="F79" s="76">
        <v>2.7</v>
      </c>
      <c r="G79" s="70">
        <f t="shared" si="1"/>
        <v>2.2167378180897482E-2</v>
      </c>
    </row>
    <row r="80" spans="6:7" x14ac:dyDescent="0.25">
      <c r="F80" s="76">
        <v>2.8</v>
      </c>
      <c r="G80" s="70">
        <f t="shared" si="1"/>
        <v>1.905933053781568E-2</v>
      </c>
    </row>
    <row r="81" spans="6:7" x14ac:dyDescent="0.25">
      <c r="F81" s="76">
        <v>2.9</v>
      </c>
      <c r="G81" s="70">
        <f t="shared" si="1"/>
        <v>1.6392028134717216E-2</v>
      </c>
    </row>
    <row r="82" spans="6:7" x14ac:dyDescent="0.25">
      <c r="F82" s="76">
        <v>3</v>
      </c>
      <c r="G82" s="70">
        <f t="shared" si="1"/>
        <v>1.4104682517216093E-2</v>
      </c>
    </row>
    <row r="83" spans="6:7" x14ac:dyDescent="0.25">
      <c r="F83" s="76">
        <v>3.1</v>
      </c>
      <c r="G83" s="70">
        <f t="shared" si="1"/>
        <v>1.2144082694581494E-2</v>
      </c>
    </row>
    <row r="84" spans="6:7" x14ac:dyDescent="0.25">
      <c r="F84" s="76">
        <v>3.2</v>
      </c>
      <c r="G84" s="70">
        <f t="shared" si="1"/>
        <v>1.0463914917300124E-2</v>
      </c>
    </row>
    <row r="85" spans="6:7" x14ac:dyDescent="0.25">
      <c r="F85" s="76">
        <v>3.3</v>
      </c>
      <c r="G85" s="70">
        <f t="shared" si="1"/>
        <v>9.0240581128863701E-3</v>
      </c>
    </row>
    <row r="86" spans="6:7" x14ac:dyDescent="0.25">
      <c r="F86" s="76">
        <v>3.4</v>
      </c>
      <c r="G86" s="70">
        <f t="shared" si="1"/>
        <v>7.7898905926888128E-3</v>
      </c>
    </row>
    <row r="87" spans="6:7" x14ac:dyDescent="0.25">
      <c r="F87" s="76">
        <v>3.5</v>
      </c>
      <c r="G87" s="70">
        <f t="shared" si="1"/>
        <v>6.731631132645341E-3</v>
      </c>
    </row>
    <row r="88" spans="6:7" x14ac:dyDescent="0.25">
      <c r="F88" s="76">
        <v>3.6</v>
      </c>
      <c r="G88" s="70">
        <f t="shared" si="1"/>
        <v>5.8237282014526204E-3</v>
      </c>
    </row>
    <row r="89" spans="6:7" x14ac:dyDescent="0.25">
      <c r="F89" s="76">
        <v>3.7</v>
      </c>
      <c r="G89" s="70">
        <f t="shared" si="1"/>
        <v>5.0443043616180726E-3</v>
      </c>
    </row>
    <row r="90" spans="6:7" x14ac:dyDescent="0.25">
      <c r="F90" s="76">
        <v>3.8</v>
      </c>
      <c r="G90" s="70">
        <f t="shared" si="1"/>
        <v>4.3746581509088557E-3</v>
      </c>
    </row>
    <row r="91" spans="6:7" x14ac:dyDescent="0.25">
      <c r="F91" s="76">
        <v>3.9</v>
      </c>
      <c r="G91" s="70">
        <f t="shared" si="1"/>
        <v>3.7988225862884395E-3</v>
      </c>
    </row>
    <row r="92" spans="6:7" x14ac:dyDescent="0.25">
      <c r="F92" s="76">
        <v>4</v>
      </c>
      <c r="G92" s="70">
        <f t="shared" si="1"/>
        <v>3.3031774237809093E-3</v>
      </c>
    </row>
    <row r="93" spans="6:7" x14ac:dyDescent="0.25">
      <c r="F93" s="76">
        <v>4.0999999999999996</v>
      </c>
      <c r="G93" s="70">
        <f t="shared" si="1"/>
        <v>2.8761111387772408E-3</v>
      </c>
    </row>
    <row r="94" spans="6:7" x14ac:dyDescent="0.25">
      <c r="F94" s="76">
        <v>4.2</v>
      </c>
      <c r="G94" s="70">
        <f t="shared" si="1"/>
        <v>2.5077280151267886E-3</v>
      </c>
    </row>
    <row r="95" spans="6:7" x14ac:dyDescent="0.25">
      <c r="F95" s="76">
        <v>4.3</v>
      </c>
      <c r="G95" s="70">
        <f t="shared" si="1"/>
        <v>2.1895955602305008E-3</v>
      </c>
    </row>
    <row r="96" spans="6:7" x14ac:dyDescent="0.25">
      <c r="F96" s="76">
        <v>4.4000000000000004</v>
      </c>
      <c r="G96" s="70">
        <f t="shared" si="1"/>
        <v>1.9145275578168436E-3</v>
      </c>
    </row>
    <row r="97" spans="6:7" x14ac:dyDescent="0.25">
      <c r="F97" s="76">
        <v>4.5</v>
      </c>
      <c r="G97" s="70">
        <f t="shared" si="1"/>
        <v>1.6763983288416314E-3</v>
      </c>
    </row>
    <row r="98" spans="6:7" x14ac:dyDescent="0.25">
      <c r="F98" s="76">
        <v>4.5999999999999996</v>
      </c>
      <c r="G98" s="70">
        <f t="shared" si="1"/>
        <v>1.4699841221482964E-3</v>
      </c>
    </row>
    <row r="99" spans="6:7" x14ac:dyDescent="0.25">
      <c r="F99" s="76">
        <v>4.7</v>
      </c>
      <c r="G99" s="70">
        <f t="shared" si="1"/>
        <v>1.2908279505215324E-3</v>
      </c>
    </row>
    <row r="100" spans="6:7" x14ac:dyDescent="0.25">
      <c r="F100" s="76">
        <v>4.8</v>
      </c>
      <c r="G100" s="70">
        <f t="shared" si="1"/>
        <v>1.1351245913782556E-3</v>
      </c>
    </row>
    <row r="101" spans="6:7" x14ac:dyDescent="0.25">
      <c r="F101" s="76">
        <v>4.9000000000000004</v>
      </c>
      <c r="G101" s="70">
        <f t="shared" si="1"/>
        <v>9.9962286331650783E-4</v>
      </c>
    </row>
    <row r="102" spans="6:7" x14ac:dyDescent="0.25">
      <c r="F102" s="76">
        <v>5</v>
      </c>
      <c r="G102" s="7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95" t="s">
        <v>165</v>
      </c>
      <c r="B1" s="196"/>
      <c r="C1" s="75"/>
      <c r="D1" s="75"/>
      <c r="F1" s="31" t="s">
        <v>121</v>
      </c>
      <c r="G1" s="31" t="s">
        <v>122</v>
      </c>
    </row>
    <row r="2" spans="1:7" x14ac:dyDescent="0.25">
      <c r="A2" s="54" t="s">
        <v>166</v>
      </c>
      <c r="B2" s="51">
        <v>17</v>
      </c>
      <c r="C2" s="103"/>
      <c r="D2" s="104"/>
      <c r="F2" s="13">
        <v>0</v>
      </c>
      <c r="G2" s="13">
        <f>_xlfn.F.DIST(F2,$B$2,$B$3,FALSE)</f>
        <v>0</v>
      </c>
    </row>
    <row r="3" spans="1:7" x14ac:dyDescent="0.25">
      <c r="A3" s="54" t="s">
        <v>167</v>
      </c>
      <c r="B3" s="51">
        <v>28</v>
      </c>
      <c r="C3" s="103"/>
      <c r="D3" s="104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C4" s="95"/>
      <c r="D4" s="96"/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C5" s="95"/>
      <c r="D5" s="96"/>
      <c r="F5" s="13">
        <v>0.2</v>
      </c>
      <c r="G5" s="13">
        <f t="shared" si="0"/>
        <v>1.703921747421137E-2</v>
      </c>
    </row>
    <row r="6" spans="1:7" x14ac:dyDescent="0.25">
      <c r="A6" s="4" t="s">
        <v>134</v>
      </c>
      <c r="B6" s="4" t="s">
        <v>135</v>
      </c>
      <c r="C6" s="75"/>
      <c r="D6" s="75"/>
      <c r="F6" s="13">
        <v>0.25</v>
      </c>
      <c r="G6" s="13">
        <f t="shared" si="0"/>
        <v>4.9805023376519951E-2</v>
      </c>
    </row>
    <row r="7" spans="1:7" x14ac:dyDescent="0.25">
      <c r="A7" s="57" t="s">
        <v>168</v>
      </c>
      <c r="B7" s="71">
        <f>_xlfn.F.DIST.RT(1.5,B2,B3)</f>
        <v>0.16605717926271171</v>
      </c>
      <c r="C7" s="105"/>
      <c r="D7" s="106"/>
      <c r="F7" s="13">
        <v>0.3</v>
      </c>
      <c r="G7" s="13">
        <f t="shared" si="0"/>
        <v>0.10887328088408475</v>
      </c>
    </row>
    <row r="8" spans="1:7" x14ac:dyDescent="0.25">
      <c r="A8" s="46" t="s">
        <v>169</v>
      </c>
      <c r="B8" s="48">
        <f>1-_xlfn.F.DIST.RT(1,B2,B3)</f>
        <v>0.51422379728018508</v>
      </c>
      <c r="C8" s="92" t="s">
        <v>264</v>
      </c>
      <c r="D8" s="171" t="s">
        <v>265</v>
      </c>
      <c r="F8" s="13">
        <v>0.35</v>
      </c>
      <c r="G8" s="13">
        <f t="shared" si="0"/>
        <v>0.19554966389867023</v>
      </c>
    </row>
    <row r="9" spans="1:7" x14ac:dyDescent="0.25">
      <c r="A9" s="46" t="s">
        <v>170</v>
      </c>
      <c r="B9" s="48">
        <f>D9-C9</f>
        <v>4.5499751186398707E-2</v>
      </c>
      <c r="C9" s="48">
        <f>_xlfn.F.DIST(2,B2,B3,TRUE)</f>
        <v>0.94963318184971424</v>
      </c>
      <c r="D9" s="48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6" t="s">
        <v>171</v>
      </c>
      <c r="B10" s="55">
        <f>_xlfn.F.INV.RT(0.05,B2,B3)</f>
        <v>2.0030373296338246</v>
      </c>
      <c r="C10" s="101"/>
      <c r="D10" s="102"/>
      <c r="F10" s="13">
        <v>0.45</v>
      </c>
      <c r="G10" s="13">
        <f t="shared" si="0"/>
        <v>0.42893955231565079</v>
      </c>
    </row>
    <row r="11" spans="1:7" x14ac:dyDescent="0.25">
      <c r="A11" s="79"/>
      <c r="B11" s="79"/>
      <c r="C11" s="79"/>
      <c r="D11" s="79"/>
      <c r="F11" s="13">
        <v>0.5</v>
      </c>
      <c r="G11" s="13">
        <f t="shared" si="0"/>
        <v>0.55632341892959303</v>
      </c>
    </row>
    <row r="12" spans="1:7" x14ac:dyDescent="0.25">
      <c r="A12" s="79"/>
      <c r="B12" s="79"/>
      <c r="C12" s="79"/>
      <c r="D12" s="79"/>
      <c r="F12" s="13">
        <v>0.55000000000000004</v>
      </c>
      <c r="G12" s="13">
        <f t="shared" si="0"/>
        <v>0.67736584277840484</v>
      </c>
    </row>
    <row r="13" spans="1:7" x14ac:dyDescent="0.25">
      <c r="A13" s="98"/>
      <c r="B13" s="98"/>
      <c r="C13" s="98"/>
      <c r="D13" s="98"/>
      <c r="F13" s="13">
        <v>0.6</v>
      </c>
      <c r="G13" s="13">
        <f t="shared" si="0"/>
        <v>0.78406211989412022</v>
      </c>
    </row>
    <row r="14" spans="1:7" x14ac:dyDescent="0.25">
      <c r="A14" s="79"/>
      <c r="B14" s="99"/>
      <c r="C14" s="99"/>
      <c r="D14" s="99"/>
      <c r="F14" s="13">
        <v>0.65</v>
      </c>
      <c r="G14" s="13">
        <f t="shared" si="0"/>
        <v>0.87100084253886101</v>
      </c>
    </row>
    <row r="15" spans="1:7" x14ac:dyDescent="0.25">
      <c r="A15" s="98"/>
      <c r="B15" s="98"/>
      <c r="C15" s="98"/>
      <c r="D15" s="98"/>
      <c r="F15" s="13">
        <v>0.7</v>
      </c>
      <c r="G15" s="13">
        <f t="shared" si="0"/>
        <v>0.93537747472516708</v>
      </c>
    </row>
    <row r="16" spans="1:7" x14ac:dyDescent="0.25">
      <c r="A16" s="79"/>
      <c r="B16" s="80"/>
      <c r="C16" s="80"/>
      <c r="D16" s="80"/>
      <c r="F16" s="13">
        <v>0.75</v>
      </c>
      <c r="G16" s="13">
        <f t="shared" si="0"/>
        <v>0.97662973140537335</v>
      </c>
    </row>
    <row r="17" spans="1:7" x14ac:dyDescent="0.25">
      <c r="A17" s="98"/>
      <c r="B17" s="98"/>
      <c r="C17" s="98"/>
      <c r="D17" s="98"/>
      <c r="F17" s="13">
        <v>0.8</v>
      </c>
      <c r="G17" s="13">
        <f t="shared" si="0"/>
        <v>0.99590227263705544</v>
      </c>
    </row>
    <row r="18" spans="1:7" x14ac:dyDescent="0.25">
      <c r="A18" s="98"/>
      <c r="B18" s="98"/>
      <c r="C18" s="98"/>
      <c r="D18" s="98"/>
      <c r="F18" s="13">
        <v>0.85</v>
      </c>
      <c r="G18" s="13">
        <f t="shared" si="0"/>
        <v>0.99548695855669556</v>
      </c>
    </row>
    <row r="19" spans="1:7" x14ac:dyDescent="0.25">
      <c r="A19" s="100"/>
      <c r="B19" s="100"/>
      <c r="C19" s="100"/>
      <c r="D19" s="100"/>
      <c r="F19" s="13">
        <v>0.9</v>
      </c>
      <c r="G19" s="13">
        <f t="shared" si="0"/>
        <v>0.9783244624137386</v>
      </c>
    </row>
    <row r="20" spans="1:7" x14ac:dyDescent="0.25">
      <c r="A20" s="100"/>
      <c r="B20" s="100"/>
      <c r="C20" s="100"/>
      <c r="D20" s="100"/>
      <c r="F20" s="13">
        <v>0.95</v>
      </c>
      <c r="G20" s="13">
        <f t="shared" si="0"/>
        <v>0.94760615229555967</v>
      </c>
    </row>
    <row r="21" spans="1:7" x14ac:dyDescent="0.25">
      <c r="A21" s="100"/>
      <c r="B21" s="100"/>
      <c r="C21" s="100"/>
      <c r="D21" s="100"/>
      <c r="F21" s="13">
        <v>1</v>
      </c>
      <c r="G21" s="13">
        <f t="shared" si="0"/>
        <v>0.90648411941043694</v>
      </c>
    </row>
    <row r="22" spans="1:7" x14ac:dyDescent="0.25">
      <c r="A22" s="100"/>
      <c r="B22" s="100"/>
      <c r="C22" s="100"/>
      <c r="D22" s="100"/>
      <c r="F22" s="13">
        <v>1.05</v>
      </c>
      <c r="G22" s="13">
        <f t="shared" si="0"/>
        <v>0.8578796244163599</v>
      </c>
    </row>
    <row r="23" spans="1:7" x14ac:dyDescent="0.25">
      <c r="A23" s="97"/>
      <c r="B23" s="97"/>
      <c r="C23" s="97"/>
      <c r="D23" s="97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topLeftCell="A4" zoomScale="90" zoomScaleNormal="90" workbookViewId="0">
      <selection activeCell="D10" sqref="D10"/>
    </sheetView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69" t="s">
        <v>142</v>
      </c>
      <c r="C1" s="69" t="s">
        <v>144</v>
      </c>
      <c r="D1" s="69" t="s">
        <v>29</v>
      </c>
      <c r="E1" s="79"/>
      <c r="G1" s="31" t="s">
        <v>110</v>
      </c>
      <c r="H1" s="31" t="s">
        <v>143</v>
      </c>
    </row>
    <row r="2" spans="1:8" x14ac:dyDescent="0.25">
      <c r="A2" s="12">
        <v>102</v>
      </c>
      <c r="C2" s="69" t="s">
        <v>142</v>
      </c>
      <c r="D2" s="13">
        <f>AVERAGE(A2:A41)</f>
        <v>104.075</v>
      </c>
      <c r="E2" s="80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77" t="s">
        <v>146</v>
      </c>
      <c r="D4" s="77" t="s">
        <v>29</v>
      </c>
      <c r="E4" s="77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77" t="s">
        <v>142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145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147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148</v>
      </c>
      <c r="D10" s="78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150</v>
      </c>
      <c r="D11" s="78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149</v>
      </c>
      <c r="D15" s="81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97" t="s">
        <v>226</v>
      </c>
      <c r="D18" s="197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97"/>
      <c r="D19" s="197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97"/>
      <c r="D20" s="197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97"/>
      <c r="D21" s="197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50" t="s">
        <v>218</v>
      </c>
      <c r="B1" s="150" t="s">
        <v>220</v>
      </c>
      <c r="E1" s="31" t="s">
        <v>136</v>
      </c>
      <c r="F1" s="31" t="s">
        <v>224</v>
      </c>
      <c r="P1" s="185" t="s">
        <v>74</v>
      </c>
      <c r="Q1" s="186"/>
      <c r="R1" s="186"/>
      <c r="S1" s="186"/>
      <c r="T1" s="186"/>
      <c r="U1" s="187"/>
    </row>
    <row r="2" spans="1:21" x14ac:dyDescent="0.25">
      <c r="A2" s="150" t="s">
        <v>219</v>
      </c>
      <c r="B2" s="21">
        <v>25</v>
      </c>
      <c r="E2" s="13">
        <v>-5</v>
      </c>
      <c r="F2" s="13">
        <f>_xlfn.T.DIST(E2,24,FALSE)</f>
        <v>5.2671658362090631E-5</v>
      </c>
      <c r="P2" s="188"/>
      <c r="Q2" s="189"/>
      <c r="R2" s="189"/>
      <c r="S2" s="189"/>
      <c r="T2" s="189"/>
      <c r="U2" s="190"/>
    </row>
    <row r="3" spans="1:21" x14ac:dyDescent="0.25">
      <c r="A3" s="150" t="s">
        <v>29</v>
      </c>
      <c r="B3" s="66">
        <v>16.808</v>
      </c>
      <c r="E3" s="13">
        <v>-4.9000000000000004</v>
      </c>
      <c r="F3" s="13">
        <f t="shared" ref="F3:F66" si="0">_xlfn.T.DIST(E3,24,FALSE)</f>
        <v>6.7980079483886916E-5</v>
      </c>
      <c r="P3" s="188"/>
      <c r="Q3" s="189"/>
      <c r="R3" s="189"/>
      <c r="S3" s="189"/>
      <c r="T3" s="189"/>
      <c r="U3" s="190"/>
    </row>
    <row r="4" spans="1:21" x14ac:dyDescent="0.25">
      <c r="A4" s="150" t="s">
        <v>54</v>
      </c>
      <c r="B4" s="66">
        <v>2.7330000000000001</v>
      </c>
      <c r="E4" s="13">
        <v>-4.8</v>
      </c>
      <c r="F4" s="13">
        <f t="shared" si="0"/>
        <v>8.773776745425236E-5</v>
      </c>
      <c r="P4" s="188"/>
      <c r="Q4" s="189"/>
      <c r="R4" s="189"/>
      <c r="S4" s="189"/>
      <c r="T4" s="189"/>
      <c r="U4" s="190"/>
    </row>
    <row r="5" spans="1:21" x14ac:dyDescent="0.25">
      <c r="E5" s="13">
        <v>-4.7</v>
      </c>
      <c r="F5" s="13">
        <f t="shared" si="0"/>
        <v>1.1322547233945233E-4</v>
      </c>
      <c r="P5" s="188"/>
      <c r="Q5" s="189"/>
      <c r="R5" s="189"/>
      <c r="S5" s="189"/>
      <c r="T5" s="189"/>
      <c r="U5" s="190"/>
    </row>
    <row r="6" spans="1:21" x14ac:dyDescent="0.25">
      <c r="A6" s="77" t="s">
        <v>146</v>
      </c>
      <c r="B6" s="77" t="s">
        <v>29</v>
      </c>
      <c r="E6" s="13">
        <v>-4.5999999999999996</v>
      </c>
      <c r="F6" s="13">
        <f t="shared" si="0"/>
        <v>1.4608439523534675E-4</v>
      </c>
      <c r="P6" s="191"/>
      <c r="Q6" s="192"/>
      <c r="R6" s="192"/>
      <c r="S6" s="192"/>
      <c r="T6" s="192"/>
      <c r="U6" s="193"/>
    </row>
    <row r="7" spans="1:21" x14ac:dyDescent="0.25">
      <c r="A7" s="77" t="s">
        <v>217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145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221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51" t="s">
        <v>93</v>
      </c>
      <c r="B12" s="78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51" t="s">
        <v>222</v>
      </c>
      <c r="B13" s="67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51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52" t="s">
        <v>223</v>
      </c>
      <c r="B17" s="81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97" t="s">
        <v>225</v>
      </c>
      <c r="B20" s="197"/>
      <c r="E20" s="13">
        <v>-3.2</v>
      </c>
      <c r="F20" s="13">
        <f t="shared" si="0"/>
        <v>4.6489624951230879E-3</v>
      </c>
    </row>
    <row r="21" spans="1:6" x14ac:dyDescent="0.25">
      <c r="A21" s="197"/>
      <c r="B21" s="197"/>
      <c r="E21" s="13">
        <v>-3.1</v>
      </c>
      <c r="F21" s="13">
        <f t="shared" si="0"/>
        <v>5.8636978944924213E-3</v>
      </c>
    </row>
    <row r="22" spans="1:6" x14ac:dyDescent="0.25">
      <c r="A22" s="197"/>
      <c r="B22" s="197"/>
      <c r="E22" s="13">
        <v>-3</v>
      </c>
      <c r="F22" s="13">
        <f t="shared" si="0"/>
        <v>7.3723126395608537E-3</v>
      </c>
    </row>
    <row r="23" spans="1:6" x14ac:dyDescent="0.25">
      <c r="A23" s="197"/>
      <c r="B23" s="197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GridLines="0" zoomScale="85" zoomScaleNormal="85" workbookViewId="0">
      <selection activeCell="D19" sqref="D19"/>
    </sheetView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172</v>
      </c>
      <c r="B1" s="4" t="s">
        <v>173</v>
      </c>
      <c r="C1" s="4" t="s">
        <v>174</v>
      </c>
      <c r="D1" s="4" t="s">
        <v>183</v>
      </c>
      <c r="F1" s="31" t="s">
        <v>132</v>
      </c>
      <c r="G1" s="2" t="s">
        <v>133</v>
      </c>
      <c r="R1" s="185" t="s">
        <v>74</v>
      </c>
      <c r="S1" s="186"/>
      <c r="T1" s="186"/>
      <c r="U1" s="186"/>
      <c r="V1" s="186"/>
      <c r="W1" s="187"/>
    </row>
    <row r="2" spans="1:23" x14ac:dyDescent="0.25">
      <c r="A2" s="110" t="s">
        <v>175</v>
      </c>
      <c r="B2" s="108">
        <v>35</v>
      </c>
      <c r="C2" s="109">
        <v>30</v>
      </c>
      <c r="D2" s="114">
        <f>((B2-C2)^2)/C2</f>
        <v>0.83333333333333337</v>
      </c>
      <c r="F2" s="112">
        <v>1</v>
      </c>
      <c r="G2" s="70">
        <f>_xlfn.CHISQ.DIST(F2,6,FALSE)</f>
        <v>3.7908166232039596E-2</v>
      </c>
      <c r="R2" s="188"/>
      <c r="S2" s="189"/>
      <c r="T2" s="189"/>
      <c r="U2" s="189"/>
      <c r="V2" s="189"/>
      <c r="W2" s="190"/>
    </row>
    <row r="3" spans="1:23" x14ac:dyDescent="0.25">
      <c r="A3" s="109" t="s">
        <v>176</v>
      </c>
      <c r="B3" s="108">
        <v>24</v>
      </c>
      <c r="C3" s="109">
        <v>30</v>
      </c>
      <c r="D3" s="114">
        <f t="shared" ref="D3:D8" si="0">((B3-C3)^2)/C3</f>
        <v>1.2</v>
      </c>
      <c r="F3" s="112">
        <v>1.5</v>
      </c>
      <c r="G3" s="70">
        <f t="shared" ref="G3:G51" si="1">_xlfn.CHISQ.DIST(F3,6,FALSE)</f>
        <v>6.6426546479205192E-2</v>
      </c>
      <c r="R3" s="188"/>
      <c r="S3" s="189"/>
      <c r="T3" s="189"/>
      <c r="U3" s="189"/>
      <c r="V3" s="189"/>
      <c r="W3" s="190"/>
    </row>
    <row r="4" spans="1:23" x14ac:dyDescent="0.25">
      <c r="A4" s="109" t="s">
        <v>177</v>
      </c>
      <c r="B4" s="108">
        <v>27</v>
      </c>
      <c r="C4" s="109">
        <v>30</v>
      </c>
      <c r="D4" s="114">
        <f t="shared" si="0"/>
        <v>0.3</v>
      </c>
      <c r="F4" s="112">
        <v>2</v>
      </c>
      <c r="G4" s="70">
        <f t="shared" si="1"/>
        <v>9.1969860292860584E-2</v>
      </c>
      <c r="R4" s="188"/>
      <c r="S4" s="189"/>
      <c r="T4" s="189"/>
      <c r="U4" s="189"/>
      <c r="V4" s="189"/>
      <c r="W4" s="190"/>
    </row>
    <row r="5" spans="1:23" x14ac:dyDescent="0.25">
      <c r="A5" s="109" t="s">
        <v>178</v>
      </c>
      <c r="B5" s="108">
        <v>32</v>
      </c>
      <c r="C5" s="109">
        <v>30</v>
      </c>
      <c r="D5" s="114">
        <f t="shared" si="0"/>
        <v>0.13333333333333333</v>
      </c>
      <c r="F5" s="112">
        <v>2.5</v>
      </c>
      <c r="G5" s="70">
        <f t="shared" si="1"/>
        <v>0.1119159362735118</v>
      </c>
      <c r="R5" s="188"/>
      <c r="S5" s="189"/>
      <c r="T5" s="189"/>
      <c r="U5" s="189"/>
      <c r="V5" s="189"/>
      <c r="W5" s="190"/>
    </row>
    <row r="6" spans="1:23" x14ac:dyDescent="0.25">
      <c r="A6" s="109" t="s">
        <v>132</v>
      </c>
      <c r="B6" s="111">
        <v>25</v>
      </c>
      <c r="C6" s="109">
        <v>30</v>
      </c>
      <c r="D6" s="114">
        <f t="shared" si="0"/>
        <v>0.83333333333333337</v>
      </c>
      <c r="F6" s="112">
        <v>3</v>
      </c>
      <c r="G6" s="70">
        <f t="shared" si="1"/>
        <v>0.12551071508349182</v>
      </c>
      <c r="R6" s="191"/>
      <c r="S6" s="192"/>
      <c r="T6" s="192"/>
      <c r="U6" s="192"/>
      <c r="V6" s="192"/>
      <c r="W6" s="193"/>
    </row>
    <row r="7" spans="1:23" x14ac:dyDescent="0.25">
      <c r="A7" s="109" t="s">
        <v>179</v>
      </c>
      <c r="B7" s="111">
        <v>36</v>
      </c>
      <c r="C7" s="109">
        <v>30</v>
      </c>
      <c r="D7" s="114">
        <f t="shared" si="0"/>
        <v>1.2</v>
      </c>
      <c r="F7" s="112">
        <v>3.5</v>
      </c>
      <c r="G7" s="70">
        <f t="shared" si="1"/>
        <v>0.13304567545424711</v>
      </c>
    </row>
    <row r="8" spans="1:23" x14ac:dyDescent="0.25">
      <c r="A8" s="109" t="s">
        <v>180</v>
      </c>
      <c r="B8" s="111">
        <v>31</v>
      </c>
      <c r="C8" s="109">
        <v>30</v>
      </c>
      <c r="D8" s="114">
        <f t="shared" si="0"/>
        <v>3.3333333333333333E-2</v>
      </c>
      <c r="F8" s="112">
        <v>4</v>
      </c>
      <c r="G8" s="70">
        <f t="shared" si="1"/>
        <v>0.13533528323661273</v>
      </c>
    </row>
    <row r="9" spans="1:23" x14ac:dyDescent="0.25">
      <c r="A9" s="198" t="s">
        <v>186</v>
      </c>
      <c r="B9" s="199"/>
      <c r="C9" s="200"/>
      <c r="D9" s="116">
        <f>+SUM(D2:D8)</f>
        <v>4.5333333333333332</v>
      </c>
      <c r="F9" s="112">
        <v>4.5</v>
      </c>
      <c r="G9" s="70">
        <f>_xlfn.CHISQ.DIST(F9,6,FALSE)</f>
        <v>0.13339589358610957</v>
      </c>
    </row>
    <row r="10" spans="1:23" x14ac:dyDescent="0.25">
      <c r="A10" s="201" t="s">
        <v>80</v>
      </c>
      <c r="B10" s="201"/>
      <c r="C10" s="201"/>
      <c r="D10" s="116">
        <f>_xlfn.CHISQ.DIST.RT(D9,6)</f>
        <v>0.60489693274193801</v>
      </c>
      <c r="F10" s="112">
        <v>5</v>
      </c>
      <c r="G10" s="70">
        <f t="shared" si="1"/>
        <v>0.12825781034984188</v>
      </c>
    </row>
    <row r="11" spans="1:23" x14ac:dyDescent="0.25">
      <c r="F11" s="112">
        <v>5.5</v>
      </c>
      <c r="G11" s="70">
        <f t="shared" si="1"/>
        <v>0.12086361259393152</v>
      </c>
    </row>
    <row r="12" spans="1:23" x14ac:dyDescent="0.25">
      <c r="A12" s="14" t="s">
        <v>37</v>
      </c>
      <c r="B12" s="15" t="s">
        <v>181</v>
      </c>
      <c r="C12" s="74"/>
      <c r="D12" s="74"/>
      <c r="F12" s="112">
        <v>6</v>
      </c>
      <c r="G12" s="70">
        <f t="shared" si="1"/>
        <v>0.11202090382769389</v>
      </c>
    </row>
    <row r="13" spans="1:23" x14ac:dyDescent="0.25">
      <c r="A13" s="14" t="s">
        <v>38</v>
      </c>
      <c r="B13" s="15" t="s">
        <v>182</v>
      </c>
      <c r="C13" s="74"/>
      <c r="D13" s="74"/>
      <c r="F13" s="112">
        <v>6.5</v>
      </c>
      <c r="G13" s="70">
        <f t="shared" si="1"/>
        <v>0.10238814255564095</v>
      </c>
    </row>
    <row r="14" spans="1:23" x14ac:dyDescent="0.25">
      <c r="A14" s="74"/>
      <c r="B14" s="75"/>
      <c r="C14" s="74"/>
      <c r="D14" s="74"/>
      <c r="F14" s="112">
        <v>7</v>
      </c>
      <c r="G14" s="70">
        <f t="shared" si="1"/>
        <v>9.2479486730850408E-2</v>
      </c>
    </row>
    <row r="15" spans="1:23" x14ac:dyDescent="0.25">
      <c r="A15" s="74"/>
      <c r="B15" s="75"/>
      <c r="C15" s="74"/>
      <c r="D15" s="74"/>
      <c r="F15" s="112">
        <v>7.5</v>
      </c>
      <c r="G15" s="70">
        <f t="shared" si="1"/>
        <v>8.2679575275032044E-2</v>
      </c>
    </row>
    <row r="16" spans="1:23" x14ac:dyDescent="0.25">
      <c r="A16" s="203" t="s">
        <v>34</v>
      </c>
      <c r="B16" s="203"/>
      <c r="C16" s="17">
        <v>0.05</v>
      </c>
      <c r="D16" s="74"/>
      <c r="F16" s="112">
        <v>8</v>
      </c>
      <c r="G16" s="70">
        <f t="shared" si="1"/>
        <v>7.3262555554936729E-2</v>
      </c>
    </row>
    <row r="17" spans="1:11" x14ac:dyDescent="0.25">
      <c r="A17" s="74"/>
      <c r="B17" s="11"/>
      <c r="C17" s="11"/>
      <c r="D17" s="74"/>
      <c r="F17" s="112">
        <v>8.5</v>
      </c>
      <c r="G17" s="70">
        <f t="shared" si="1"/>
        <v>6.441193124532478E-2</v>
      </c>
    </row>
    <row r="18" spans="1:11" x14ac:dyDescent="0.25">
      <c r="A18" s="204" t="s">
        <v>184</v>
      </c>
      <c r="B18" s="204"/>
      <c r="C18" s="81">
        <f>_xlfn.CHISQ.INV.RT(C16,6)</f>
        <v>12.591587243743978</v>
      </c>
      <c r="D18" s="74"/>
      <c r="F18" s="112">
        <v>9</v>
      </c>
      <c r="G18" s="70">
        <f t="shared" si="1"/>
        <v>5.6239294974851674E-2</v>
      </c>
    </row>
    <row r="19" spans="1:11" x14ac:dyDescent="0.25">
      <c r="A19" s="72"/>
      <c r="B19" s="72"/>
      <c r="C19" s="72"/>
      <c r="D19" s="72"/>
      <c r="F19" s="112">
        <v>9.5</v>
      </c>
      <c r="G19" s="70">
        <f t="shared" si="1"/>
        <v>4.8800968255102335E-2</v>
      </c>
    </row>
    <row r="20" spans="1:11" x14ac:dyDescent="0.25">
      <c r="A20" s="197" t="s">
        <v>185</v>
      </c>
      <c r="B20" s="197"/>
      <c r="C20" s="197"/>
      <c r="F20" s="112">
        <v>10</v>
      </c>
      <c r="G20" s="70">
        <f t="shared" si="1"/>
        <v>4.2112168744284174E-2</v>
      </c>
    </row>
    <row r="21" spans="1:11" ht="15" customHeight="1" x14ac:dyDescent="0.25">
      <c r="A21" s="197"/>
      <c r="B21" s="197"/>
      <c r="C21" s="197"/>
      <c r="D21" s="113"/>
      <c r="F21" s="112">
        <v>10.5</v>
      </c>
      <c r="G21" s="70">
        <f t="shared" si="1"/>
        <v>3.6158681469359244E-2</v>
      </c>
    </row>
    <row r="22" spans="1:11" ht="15" customHeight="1" x14ac:dyDescent="0.25">
      <c r="A22" s="197"/>
      <c r="B22" s="197"/>
      <c r="C22" s="197"/>
      <c r="D22" s="113"/>
      <c r="F22" s="112">
        <v>11</v>
      </c>
      <c r="G22" s="70">
        <f t="shared" si="1"/>
        <v>3.0906209003384512E-2</v>
      </c>
      <c r="K22" s="235"/>
    </row>
    <row r="23" spans="1:11" x14ac:dyDescent="0.25">
      <c r="A23" s="197"/>
      <c r="B23" s="197"/>
      <c r="C23" s="197"/>
      <c r="D23" s="113"/>
      <c r="F23" s="112">
        <v>11.5</v>
      </c>
      <c r="G23" s="70">
        <f t="shared" si="1"/>
        <v>2.6307672521150224E-2</v>
      </c>
    </row>
    <row r="24" spans="1:11" x14ac:dyDescent="0.25">
      <c r="A24" s="72"/>
      <c r="B24" s="72"/>
      <c r="C24" s="72"/>
      <c r="D24" s="113"/>
      <c r="F24" s="112">
        <v>12</v>
      </c>
      <c r="G24" s="70">
        <f t="shared" si="1"/>
        <v>2.2308769589997227E-2</v>
      </c>
    </row>
    <row r="25" spans="1:11" x14ac:dyDescent="0.25">
      <c r="D25" s="113"/>
      <c r="F25" s="112">
        <v>12.5</v>
      </c>
      <c r="G25" s="70">
        <f t="shared" si="1"/>
        <v>1.8852091174098726E-2</v>
      </c>
    </row>
    <row r="26" spans="1:11" x14ac:dyDescent="0.25">
      <c r="A26" s="202" t="s">
        <v>74</v>
      </c>
      <c r="B26" s="202"/>
      <c r="C26" s="202"/>
      <c r="F26" s="112">
        <v>13</v>
      </c>
      <c r="G26" s="70">
        <f t="shared" si="1"/>
        <v>1.5880076475825608E-2</v>
      </c>
    </row>
    <row r="27" spans="1:11" x14ac:dyDescent="0.25">
      <c r="A27" s="202"/>
      <c r="B27" s="202"/>
      <c r="C27" s="202"/>
      <c r="F27" s="112">
        <v>13.5</v>
      </c>
      <c r="G27" s="70">
        <f t="shared" si="1"/>
        <v>1.333705068057447E-2</v>
      </c>
    </row>
    <row r="28" spans="1:11" x14ac:dyDescent="0.25">
      <c r="A28" s="202"/>
      <c r="B28" s="202"/>
      <c r="C28" s="202"/>
      <c r="F28" s="112">
        <v>14</v>
      </c>
      <c r="G28" s="70">
        <f t="shared" si="1"/>
        <v>1.1170554078042828E-2</v>
      </c>
    </row>
    <row r="29" spans="1:11" x14ac:dyDescent="0.25">
      <c r="A29" s="202"/>
      <c r="B29" s="202"/>
      <c r="C29" s="202"/>
      <c r="F29" s="112">
        <v>14.5</v>
      </c>
      <c r="G29" s="70">
        <f t="shared" si="1"/>
        <v>9.3321353283841203E-3</v>
      </c>
    </row>
    <row r="30" spans="1:11" x14ac:dyDescent="0.25">
      <c r="A30" s="202"/>
      <c r="B30" s="202"/>
      <c r="C30" s="202"/>
      <c r="F30" s="112">
        <v>15</v>
      </c>
      <c r="G30" s="70">
        <f t="shared" si="1"/>
        <v>7.7777489552039092E-3</v>
      </c>
    </row>
    <row r="31" spans="1:11" x14ac:dyDescent="0.25">
      <c r="A31" s="202"/>
      <c r="B31" s="202"/>
      <c r="C31" s="202"/>
      <c r="F31" s="112">
        <v>15.5</v>
      </c>
      <c r="G31" s="70">
        <f t="shared" si="1"/>
        <v>6.4678684608318084E-3</v>
      </c>
    </row>
    <row r="32" spans="1:11" x14ac:dyDescent="0.25">
      <c r="F32" s="112">
        <v>16</v>
      </c>
      <c r="G32" s="70">
        <f t="shared" si="1"/>
        <v>5.3674020464401905E-3</v>
      </c>
    </row>
    <row r="33" spans="6:7" x14ac:dyDescent="0.25">
      <c r="F33" s="112">
        <v>16.5</v>
      </c>
      <c r="G33" s="70">
        <f t="shared" si="1"/>
        <v>4.4454776390861874E-3</v>
      </c>
    </row>
    <row r="34" spans="6:7" x14ac:dyDescent="0.25">
      <c r="F34" s="112">
        <v>17</v>
      </c>
      <c r="G34" s="70">
        <f t="shared" si="1"/>
        <v>3.6751474152547613E-3</v>
      </c>
    </row>
    <row r="35" spans="6:7" x14ac:dyDescent="0.25">
      <c r="F35" s="112">
        <v>17.5</v>
      </c>
      <c r="G35" s="70">
        <f t="shared" si="1"/>
        <v>3.033048801043678E-3</v>
      </c>
    </row>
    <row r="36" spans="6:7" x14ac:dyDescent="0.25">
      <c r="F36" s="112">
        <v>18</v>
      </c>
      <c r="G36" s="70">
        <f t="shared" si="1"/>
        <v>2.4990485327552612E-3</v>
      </c>
    </row>
    <row r="37" spans="6:7" x14ac:dyDescent="0.25">
      <c r="F37" s="112">
        <v>18.5</v>
      </c>
      <c r="G37" s="70">
        <f t="shared" si="1"/>
        <v>2.0558883073757707E-3</v>
      </c>
    </row>
    <row r="38" spans="6:7" x14ac:dyDescent="0.25">
      <c r="F38" s="112">
        <v>19</v>
      </c>
      <c r="G38" s="70">
        <f t="shared" si="1"/>
        <v>1.6888444118412448E-3</v>
      </c>
    </row>
    <row r="39" spans="6:7" x14ac:dyDescent="0.25">
      <c r="F39" s="112">
        <v>19.5</v>
      </c>
      <c r="G39" s="70">
        <f t="shared" si="1"/>
        <v>1.3854091177289295E-3</v>
      </c>
    </row>
    <row r="40" spans="6:7" x14ac:dyDescent="0.25">
      <c r="F40" s="112">
        <v>20</v>
      </c>
      <c r="G40" s="70">
        <f t="shared" si="1"/>
        <v>1.1349982440621222E-3</v>
      </c>
    </row>
    <row r="41" spans="6:7" x14ac:dyDescent="0.25">
      <c r="F41" s="112">
        <v>20.5</v>
      </c>
      <c r="G41" s="70">
        <f t="shared" si="1"/>
        <v>9.286868582740501E-4</v>
      </c>
    </row>
    <row r="42" spans="6:7" x14ac:dyDescent="0.25">
      <c r="F42" s="112">
        <v>21</v>
      </c>
      <c r="G42" s="70">
        <f t="shared" si="1"/>
        <v>7.5897338520240635E-4</v>
      </c>
    </row>
    <row r="43" spans="6:7" x14ac:dyDescent="0.25">
      <c r="F43" s="112">
        <v>21.5</v>
      </c>
      <c r="G43" s="70">
        <f t="shared" si="1"/>
        <v>6.1957124964645885E-4</v>
      </c>
    </row>
    <row r="44" spans="6:7" x14ac:dyDescent="0.25">
      <c r="F44" s="112">
        <v>22</v>
      </c>
      <c r="G44" s="70">
        <f t="shared" si="1"/>
        <v>5.0522644890493124E-4</v>
      </c>
    </row>
    <row r="45" spans="6:7" x14ac:dyDescent="0.25">
      <c r="F45" s="112">
        <v>22.5</v>
      </c>
      <c r="G45" s="70">
        <f t="shared" si="1"/>
        <v>4.1155902733573321E-4</v>
      </c>
    </row>
    <row r="46" spans="6:7" x14ac:dyDescent="0.25">
      <c r="F46" s="112">
        <v>23</v>
      </c>
      <c r="G46" s="70">
        <f t="shared" si="1"/>
        <v>3.3492621960472772E-4</v>
      </c>
    </row>
    <row r="47" spans="6:7" x14ac:dyDescent="0.25">
      <c r="F47" s="112">
        <v>23.5</v>
      </c>
      <c r="G47" s="70">
        <f t="shared" si="1"/>
        <v>2.7230497723883257E-4</v>
      </c>
    </row>
    <row r="48" spans="6:7" x14ac:dyDescent="0.25">
      <c r="F48" s="112">
        <v>24</v>
      </c>
      <c r="G48" s="70">
        <f t="shared" si="1"/>
        <v>2.2119164471981543E-4</v>
      </c>
    </row>
    <row r="49" spans="6:7" x14ac:dyDescent="0.25">
      <c r="F49" s="112">
        <v>24.5</v>
      </c>
      <c r="G49" s="70">
        <f t="shared" si="1"/>
        <v>1.7951666966408989E-4</v>
      </c>
    </row>
    <row r="50" spans="6:7" x14ac:dyDescent="0.25">
      <c r="F50" s="112">
        <v>25</v>
      </c>
      <c r="G50" s="70">
        <f t="shared" si="1"/>
        <v>1.4557238953432313E-4</v>
      </c>
    </row>
    <row r="51" spans="6:7" x14ac:dyDescent="0.25">
      <c r="F51" s="112">
        <v>25.5</v>
      </c>
      <c r="G51" s="70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1" t="s">
        <v>121</v>
      </c>
      <c r="I1" s="31" t="s">
        <v>122</v>
      </c>
      <c r="S1" t="s">
        <v>123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_xlfn.VAR.S(A2:A36)</f>
        <v>110.24033613445374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9"/>
      <c r="T3" s="39" t="s">
        <v>124</v>
      </c>
      <c r="U3" s="39" t="s">
        <v>125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s="25" t="s">
        <v>29</v>
      </c>
      <c r="T4" s="25">
        <v>101.22857142857143</v>
      </c>
      <c r="U4" s="25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266</v>
      </c>
      <c r="H5" s="13">
        <v>0.2</v>
      </c>
      <c r="I5" s="13">
        <f t="shared" si="0"/>
        <v>2.6409736274788477E-4</v>
      </c>
      <c r="S5" s="25" t="s">
        <v>30</v>
      </c>
      <c r="T5" s="25">
        <v>266.41680672268984</v>
      </c>
      <c r="U5" s="2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s="25" t="s">
        <v>126</v>
      </c>
      <c r="T6" s="25">
        <v>35</v>
      </c>
      <c r="U6" s="25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s="25" t="s">
        <v>127</v>
      </c>
      <c r="T7" s="25">
        <v>34</v>
      </c>
      <c r="U7" s="25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67">
        <f>F3/F2</f>
        <v>2.4166908054213181</v>
      </c>
      <c r="H8" s="13">
        <v>0.35</v>
      </c>
      <c r="I8" s="13">
        <f t="shared" si="0"/>
        <v>3.7255215524757794E-2</v>
      </c>
      <c r="S8" s="25" t="s">
        <v>121</v>
      </c>
      <c r="T8" s="25">
        <v>2.4166908054213181</v>
      </c>
      <c r="U8" s="25"/>
    </row>
    <row r="9" spans="1:21" x14ac:dyDescent="0.25">
      <c r="A9" s="12">
        <v>117</v>
      </c>
      <c r="B9" s="12">
        <v>124</v>
      </c>
      <c r="D9" s="16" t="s">
        <v>130</v>
      </c>
      <c r="E9" s="68">
        <f>_xlfn.F.DIST.RT(E8,34,34)</f>
        <v>5.9624258710783357E-3</v>
      </c>
      <c r="H9" s="13">
        <v>0.4</v>
      </c>
      <c r="I9" s="13">
        <f t="shared" si="0"/>
        <v>9.1633262115155489E-2</v>
      </c>
      <c r="S9" s="25" t="s">
        <v>128</v>
      </c>
      <c r="T9" s="25">
        <v>5.9624258710783357E-3</v>
      </c>
      <c r="U9" s="25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6" t="s">
        <v>129</v>
      </c>
      <c r="T10" s="26">
        <v>1.7720664771705754</v>
      </c>
      <c r="U10" s="26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97" t="s">
        <v>40</v>
      </c>
      <c r="E19" s="197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97"/>
      <c r="E20" s="197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97"/>
      <c r="E21" s="197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97"/>
      <c r="E22" s="197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zoomScale="85" zoomScaleNormal="85" workbookViewId="0">
      <selection activeCell="B15" sqref="B15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7" t="s">
        <v>144</v>
      </c>
      <c r="B1" s="107" t="s">
        <v>188</v>
      </c>
    </row>
    <row r="2" spans="1:2" x14ac:dyDescent="0.25">
      <c r="A2" s="117" t="s">
        <v>29</v>
      </c>
      <c r="B2" s="118">
        <v>47</v>
      </c>
    </row>
    <row r="3" spans="1:2" x14ac:dyDescent="0.25">
      <c r="A3" s="117" t="s">
        <v>54</v>
      </c>
      <c r="B3" s="118">
        <v>1</v>
      </c>
    </row>
    <row r="5" spans="1:2" x14ac:dyDescent="0.25">
      <c r="A5" s="117" t="s">
        <v>187</v>
      </c>
      <c r="B5" s="117">
        <v>25</v>
      </c>
    </row>
    <row r="6" spans="1:2" x14ac:dyDescent="0.25">
      <c r="A6" s="98"/>
      <c r="B6" s="98"/>
    </row>
    <row r="7" spans="1:2" x14ac:dyDescent="0.25">
      <c r="A7" s="115" t="s">
        <v>189</v>
      </c>
      <c r="B7" s="17">
        <v>0.95</v>
      </c>
    </row>
    <row r="8" spans="1:2" x14ac:dyDescent="0.25">
      <c r="A8" s="79"/>
    </row>
    <row r="9" spans="1:2" x14ac:dyDescent="0.25">
      <c r="A9" s="77" t="s">
        <v>192</v>
      </c>
      <c r="B9" s="122">
        <f>_xlfn.CONFIDENCE.T(1-B7,B3,B5)</f>
        <v>0.41277971232560512</v>
      </c>
    </row>
    <row r="10" spans="1:2" x14ac:dyDescent="0.25">
      <c r="A10" s="79"/>
      <c r="B10" s="119"/>
    </row>
    <row r="11" spans="1:2" x14ac:dyDescent="0.25">
      <c r="A11" s="123" t="s">
        <v>190</v>
      </c>
      <c r="B11" s="124">
        <f>B2-B9</f>
        <v>46.587220287674398</v>
      </c>
    </row>
    <row r="12" spans="1:2" x14ac:dyDescent="0.25">
      <c r="A12" s="123" t="s">
        <v>191</v>
      </c>
      <c r="B12" s="124">
        <f>B2+B9</f>
        <v>47.412779712325602</v>
      </c>
    </row>
    <row r="13" spans="1:2" x14ac:dyDescent="0.25">
      <c r="A13" s="79"/>
      <c r="B13" s="99"/>
    </row>
    <row r="14" spans="1:2" x14ac:dyDescent="0.25">
      <c r="A14" s="98"/>
      <c r="B14" s="98"/>
    </row>
    <row r="15" spans="1:2" x14ac:dyDescent="0.25">
      <c r="A15" s="120" t="s">
        <v>193</v>
      </c>
      <c r="B15" s="121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zoomScale="85" zoomScaleNormal="85" workbookViewId="0">
      <selection activeCell="F2" sqref="F2"/>
    </sheetView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213</v>
      </c>
      <c r="B1" s="4" t="s">
        <v>214</v>
      </c>
      <c r="D1" s="133"/>
      <c r="E1" s="4" t="s">
        <v>215</v>
      </c>
      <c r="F1" s="4" t="s">
        <v>216</v>
      </c>
      <c r="I1" s="195" t="s">
        <v>194</v>
      </c>
      <c r="J1" s="196"/>
      <c r="M1" t="s">
        <v>195</v>
      </c>
    </row>
    <row r="2" spans="1:15" ht="15.75" thickBot="1" x14ac:dyDescent="0.3">
      <c r="A2" s="70">
        <v>197.5</v>
      </c>
      <c r="B2" s="70">
        <v>189.3</v>
      </c>
      <c r="D2" s="134" t="s">
        <v>48</v>
      </c>
      <c r="E2" s="3">
        <f>COUNT(A2:A16)</f>
        <v>15</v>
      </c>
      <c r="F2" s="3">
        <f>COUNT(B2:B16)</f>
        <v>15</v>
      </c>
      <c r="G2" s="135"/>
      <c r="I2" s="46" t="s">
        <v>196</v>
      </c>
      <c r="J2" s="3">
        <f>SQRT(((E2-1)*E3+(F2-1)*F3)/(E2+F2-2))</f>
        <v>2.8757276511883916</v>
      </c>
      <c r="K2" s="1"/>
      <c r="L2" s="1"/>
    </row>
    <row r="3" spans="1:15" x14ac:dyDescent="0.25">
      <c r="A3" s="70">
        <v>190.9</v>
      </c>
      <c r="B3" s="70">
        <v>188.3</v>
      </c>
      <c r="D3" s="134" t="s">
        <v>30</v>
      </c>
      <c r="E3" s="70">
        <f>_xlfn.VAR.S(A2:A16)</f>
        <v>9.9098095238095034</v>
      </c>
      <c r="F3" s="70">
        <f>_xlfn.VAR.S(B2:B16)</f>
        <v>6.6298095238095076</v>
      </c>
      <c r="G3" s="136"/>
      <c r="I3" s="149"/>
      <c r="J3" s="148"/>
      <c r="M3" s="125"/>
      <c r="N3" s="125" t="s">
        <v>215</v>
      </c>
      <c r="O3" s="125" t="s">
        <v>216</v>
      </c>
    </row>
    <row r="4" spans="1:15" x14ac:dyDescent="0.25">
      <c r="A4" s="70">
        <v>188.3</v>
      </c>
      <c r="B4" s="70">
        <v>196</v>
      </c>
      <c r="D4" s="134" t="s">
        <v>29</v>
      </c>
      <c r="E4" s="132">
        <f>AVERAGE(A2:A16)</f>
        <v>195.04666666666665</v>
      </c>
      <c r="F4" s="132">
        <f>AVERAGE(B2:B16)</f>
        <v>190.78666666666669</v>
      </c>
      <c r="G4" s="137"/>
      <c r="I4" s="46" t="s">
        <v>93</v>
      </c>
      <c r="J4" s="145">
        <f>(E4-F4)/(J2*SQRT((1/E2)+(1/F2)))</f>
        <v>4.0568829492732981</v>
      </c>
      <c r="K4" s="126"/>
      <c r="L4" s="126"/>
      <c r="M4" t="s">
        <v>29</v>
      </c>
      <c r="N4">
        <v>195.04666666666665</v>
      </c>
      <c r="O4">
        <v>190.78666666666669</v>
      </c>
    </row>
    <row r="5" spans="1:15" x14ac:dyDescent="0.25">
      <c r="A5" s="70">
        <v>192.6</v>
      </c>
      <c r="B5" s="70">
        <v>188.8</v>
      </c>
      <c r="I5" s="46" t="s">
        <v>34</v>
      </c>
      <c r="J5" s="146">
        <v>0.05</v>
      </c>
      <c r="K5" s="127"/>
      <c r="L5" s="127"/>
      <c r="M5" t="s">
        <v>30</v>
      </c>
      <c r="N5">
        <v>9.9098095238095034</v>
      </c>
      <c r="O5">
        <v>6.6298095238095076</v>
      </c>
    </row>
    <row r="6" spans="1:15" x14ac:dyDescent="0.25">
      <c r="A6" s="70">
        <v>199.2</v>
      </c>
      <c r="B6" s="70">
        <v>190.7</v>
      </c>
      <c r="D6" s="141" t="s">
        <v>197</v>
      </c>
      <c r="E6" s="142">
        <f>E3/F3</f>
        <v>1.4947351787740801</v>
      </c>
      <c r="I6" s="46" t="s">
        <v>198</v>
      </c>
      <c r="J6" s="3">
        <f>+E2+F2-2</f>
        <v>28</v>
      </c>
      <c r="K6" s="1"/>
      <c r="L6" s="1"/>
      <c r="M6" t="s">
        <v>126</v>
      </c>
      <c r="N6">
        <v>15</v>
      </c>
      <c r="O6">
        <v>15</v>
      </c>
    </row>
    <row r="7" spans="1:15" x14ac:dyDescent="0.25">
      <c r="A7" s="70">
        <v>196.9</v>
      </c>
      <c r="B7" s="70">
        <v>194.9</v>
      </c>
      <c r="D7" s="141" t="s">
        <v>34</v>
      </c>
      <c r="E7" s="143">
        <v>0.05</v>
      </c>
      <c r="I7" s="46" t="s">
        <v>199</v>
      </c>
      <c r="J7" s="147">
        <f>_xlfn.T.INV.2T(J5,J6)</f>
        <v>2.0484071417952445</v>
      </c>
      <c r="K7" s="128"/>
      <c r="L7" s="128"/>
      <c r="M7" t="s">
        <v>200</v>
      </c>
      <c r="N7">
        <v>8.2698095238095046</v>
      </c>
    </row>
    <row r="8" spans="1:15" x14ac:dyDescent="0.25">
      <c r="A8" s="70">
        <v>196.9</v>
      </c>
      <c r="B8" s="70">
        <v>186.9</v>
      </c>
      <c r="D8" s="141" t="s">
        <v>201</v>
      </c>
      <c r="E8" s="144">
        <f>_xlfn.F.INV.RT(E7,E2-1,F2-1)</f>
        <v>2.4837257411282234</v>
      </c>
      <c r="M8" t="s">
        <v>202</v>
      </c>
      <c r="N8">
        <v>0</v>
      </c>
    </row>
    <row r="9" spans="1:15" x14ac:dyDescent="0.25">
      <c r="A9" s="70">
        <v>198.6</v>
      </c>
      <c r="B9" s="70">
        <v>190</v>
      </c>
      <c r="E9" s="126"/>
      <c r="M9" t="s">
        <v>127</v>
      </c>
      <c r="N9">
        <v>28</v>
      </c>
    </row>
    <row r="10" spans="1:15" x14ac:dyDescent="0.25">
      <c r="A10" s="70">
        <v>192</v>
      </c>
      <c r="B10" s="70">
        <v>191.7</v>
      </c>
      <c r="D10" s="129" t="s">
        <v>37</v>
      </c>
      <c r="E10" s="130" t="s">
        <v>203</v>
      </c>
      <c r="I10" s="129" t="s">
        <v>37</v>
      </c>
      <c r="J10" s="130" t="s">
        <v>145</v>
      </c>
      <c r="M10" t="s">
        <v>204</v>
      </c>
      <c r="N10">
        <v>4.0568829492732981</v>
      </c>
    </row>
    <row r="11" spans="1:15" ht="15" customHeight="1" x14ac:dyDescent="0.25">
      <c r="A11" s="70">
        <v>197.5</v>
      </c>
      <c r="B11" s="70">
        <v>189.2</v>
      </c>
      <c r="D11" s="129" t="s">
        <v>38</v>
      </c>
      <c r="E11" s="130" t="s">
        <v>205</v>
      </c>
      <c r="I11" s="129" t="s">
        <v>38</v>
      </c>
      <c r="J11" s="130" t="s">
        <v>206</v>
      </c>
      <c r="M11" t="s">
        <v>207</v>
      </c>
      <c r="N11">
        <v>1.8034940853772942E-4</v>
      </c>
    </row>
    <row r="12" spans="1:15" x14ac:dyDescent="0.25">
      <c r="A12" s="70">
        <v>195</v>
      </c>
      <c r="B12" s="70">
        <v>190.3</v>
      </c>
      <c r="M12" t="s">
        <v>208</v>
      </c>
      <c r="N12">
        <v>1.7011309342659326</v>
      </c>
    </row>
    <row r="13" spans="1:15" ht="15" customHeight="1" x14ac:dyDescent="0.25">
      <c r="A13" s="70">
        <v>193.9</v>
      </c>
      <c r="B13" s="70">
        <v>191.1</v>
      </c>
      <c r="D13" s="214" t="s">
        <v>209</v>
      </c>
      <c r="E13" s="214"/>
      <c r="F13" s="214"/>
      <c r="G13" s="214"/>
      <c r="I13" s="205" t="s">
        <v>210</v>
      </c>
      <c r="J13" s="206"/>
      <c r="K13" s="207"/>
      <c r="L13" s="138"/>
      <c r="M13" t="s">
        <v>211</v>
      </c>
      <c r="N13">
        <v>3.6069881707545884E-4</v>
      </c>
    </row>
    <row r="14" spans="1:15" ht="15.75" thickBot="1" x14ac:dyDescent="0.3">
      <c r="A14" s="70">
        <v>197.7</v>
      </c>
      <c r="B14" s="70">
        <v>189.6</v>
      </c>
      <c r="D14" s="214"/>
      <c r="E14" s="214"/>
      <c r="F14" s="214"/>
      <c r="G14" s="214"/>
      <c r="I14" s="208"/>
      <c r="J14" s="209"/>
      <c r="K14" s="210"/>
      <c r="L14" s="138"/>
      <c r="M14" s="131" t="s">
        <v>212</v>
      </c>
      <c r="N14" s="131">
        <v>2.0484071417952445</v>
      </c>
      <c r="O14" s="131"/>
    </row>
    <row r="15" spans="1:15" x14ac:dyDescent="0.25">
      <c r="A15" s="70">
        <v>195.5</v>
      </c>
      <c r="B15" s="70">
        <v>194.7</v>
      </c>
      <c r="D15" s="214"/>
      <c r="E15" s="214"/>
      <c r="F15" s="214"/>
      <c r="G15" s="214"/>
      <c r="I15" s="208"/>
      <c r="J15" s="209"/>
      <c r="K15" s="210"/>
      <c r="L15" s="138"/>
    </row>
    <row r="16" spans="1:15" x14ac:dyDescent="0.25">
      <c r="A16" s="70">
        <v>193.2</v>
      </c>
      <c r="B16" s="70">
        <v>190.3</v>
      </c>
      <c r="D16" s="214"/>
      <c r="E16" s="214"/>
      <c r="F16" s="214"/>
      <c r="G16" s="214"/>
      <c r="I16" s="211"/>
      <c r="J16" s="212"/>
      <c r="K16" s="213"/>
      <c r="L16" s="138"/>
    </row>
    <row r="18" spans="4:7" x14ac:dyDescent="0.25">
      <c r="D18" t="s">
        <v>123</v>
      </c>
    </row>
    <row r="19" spans="4:7" ht="15.75" thickBot="1" x14ac:dyDescent="0.3"/>
    <row r="20" spans="4:7" x14ac:dyDescent="0.25">
      <c r="D20" s="125"/>
      <c r="E20" s="125" t="s">
        <v>215</v>
      </c>
      <c r="F20" s="125" t="s">
        <v>216</v>
      </c>
      <c r="G20" s="139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126</v>
      </c>
      <c r="E23">
        <v>15</v>
      </c>
      <c r="F23">
        <v>15</v>
      </c>
    </row>
    <row r="24" spans="4:7" x14ac:dyDescent="0.25">
      <c r="D24" t="s">
        <v>127</v>
      </c>
      <c r="E24">
        <v>14</v>
      </c>
      <c r="F24">
        <v>14</v>
      </c>
    </row>
    <row r="25" spans="4:7" x14ac:dyDescent="0.25">
      <c r="D25" t="s">
        <v>121</v>
      </c>
      <c r="E25">
        <v>1.4947351787740801</v>
      </c>
    </row>
    <row r="26" spans="4:7" x14ac:dyDescent="0.25">
      <c r="D26" t="s">
        <v>128</v>
      </c>
      <c r="E26">
        <v>0.2307858039396018</v>
      </c>
    </row>
    <row r="27" spans="4:7" ht="15.75" thickBot="1" x14ac:dyDescent="0.3">
      <c r="D27" s="131" t="s">
        <v>129</v>
      </c>
      <c r="E27" s="131">
        <v>2.4837257411282234</v>
      </c>
      <c r="F27" s="131"/>
      <c r="G27" s="140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/>
  </sheetViews>
  <sheetFormatPr defaultRowHeight="15" x14ac:dyDescent="0.25"/>
  <sheetData>
    <row r="1" spans="1:15" x14ac:dyDescent="0.25">
      <c r="A1" s="160" t="s">
        <v>110</v>
      </c>
      <c r="B1" s="161">
        <v>0</v>
      </c>
      <c r="C1" s="162">
        <v>0.01</v>
      </c>
      <c r="D1" s="162">
        <v>0.02</v>
      </c>
      <c r="E1" s="162">
        <v>0.03</v>
      </c>
      <c r="F1" s="162">
        <v>0.04</v>
      </c>
      <c r="G1" s="162">
        <v>0.05</v>
      </c>
      <c r="H1" s="162">
        <v>0.06</v>
      </c>
      <c r="I1" s="162">
        <v>7.0000000000000007E-2</v>
      </c>
      <c r="J1" s="162">
        <v>0.08</v>
      </c>
      <c r="K1" s="162">
        <v>0.09</v>
      </c>
      <c r="M1" s="215" t="s">
        <v>239</v>
      </c>
      <c r="N1" s="216"/>
      <c r="O1" s="217"/>
    </row>
    <row r="2" spans="1:15" x14ac:dyDescent="0.25">
      <c r="A2" s="163">
        <v>0</v>
      </c>
      <c r="B2" s="164">
        <f>1-_xlfn.NORM.S.DIST($A2+B$1,TRUE)</f>
        <v>0.5</v>
      </c>
      <c r="C2" s="164">
        <f t="shared" ref="C2:K17" si="0">1-_xlfn.NORM.S.DIST($A2+C$1,TRUE)</f>
        <v>0.4960106436853684</v>
      </c>
      <c r="D2" s="164">
        <f t="shared" si="0"/>
        <v>0.49202168628309795</v>
      </c>
      <c r="E2" s="164">
        <f t="shared" si="0"/>
        <v>0.48803352658588728</v>
      </c>
      <c r="F2" s="164">
        <f t="shared" si="0"/>
        <v>0.48404656314716932</v>
      </c>
      <c r="G2" s="164">
        <f t="shared" si="0"/>
        <v>0.48006119416162751</v>
      </c>
      <c r="H2" s="164">
        <f t="shared" si="0"/>
        <v>0.47607781734589316</v>
      </c>
      <c r="I2" s="164">
        <f t="shared" si="0"/>
        <v>0.47209682981947887</v>
      </c>
      <c r="J2" s="164">
        <f t="shared" si="0"/>
        <v>0.46811862798601256</v>
      </c>
      <c r="K2" s="164">
        <f t="shared" si="0"/>
        <v>0.46414360741482796</v>
      </c>
      <c r="M2" s="218"/>
      <c r="N2" s="219"/>
      <c r="O2" s="220"/>
    </row>
    <row r="3" spans="1:15" x14ac:dyDescent="0.25">
      <c r="A3" s="163">
        <v>0.1</v>
      </c>
      <c r="B3" s="164">
        <f t="shared" ref="B3:K18" si="1">1-_xlfn.NORM.S.DIST($A3+B$1,TRUE)</f>
        <v>0.46017216272297101</v>
      </c>
      <c r="C3" s="164">
        <f t="shared" si="0"/>
        <v>0.45620468745768328</v>
      </c>
      <c r="D3" s="164">
        <f t="shared" si="0"/>
        <v>0.45224157397941611</v>
      </c>
      <c r="E3" s="164">
        <f t="shared" si="0"/>
        <v>0.44828321334543886</v>
      </c>
      <c r="F3" s="164">
        <f t="shared" si="0"/>
        <v>0.44432999519409355</v>
      </c>
      <c r="G3" s="164">
        <f t="shared" si="0"/>
        <v>0.4403823076297575</v>
      </c>
      <c r="H3" s="164">
        <f t="shared" si="0"/>
        <v>0.43644053710856712</v>
      </c>
      <c r="I3" s="164">
        <f t="shared" si="0"/>
        <v>0.43250506832496161</v>
      </c>
      <c r="J3" s="164">
        <f t="shared" si="0"/>
        <v>0.4285762840990992</v>
      </c>
      <c r="K3" s="164">
        <f t="shared" si="0"/>
        <v>0.42465456526520451</v>
      </c>
      <c r="M3" s="218"/>
      <c r="N3" s="219"/>
      <c r="O3" s="220"/>
    </row>
    <row r="4" spans="1:15" x14ac:dyDescent="0.25">
      <c r="A4" s="163">
        <v>0.2</v>
      </c>
      <c r="B4" s="164">
        <f t="shared" si="1"/>
        <v>0.42074029056089701</v>
      </c>
      <c r="C4" s="164">
        <f t="shared" si="0"/>
        <v>0.41683383651755768</v>
      </c>
      <c r="D4" s="164">
        <f t="shared" si="0"/>
        <v>0.41293557735178532</v>
      </c>
      <c r="E4" s="164">
        <f t="shared" si="0"/>
        <v>0.40904588485799409</v>
      </c>
      <c r="F4" s="164">
        <f t="shared" si="0"/>
        <v>0.40516512830220419</v>
      </c>
      <c r="G4" s="164">
        <f t="shared" si="0"/>
        <v>0.4012936743170763</v>
      </c>
      <c r="H4" s="164">
        <f t="shared" si="0"/>
        <v>0.39743188679823949</v>
      </c>
      <c r="I4" s="164">
        <f t="shared" si="0"/>
        <v>0.39358012680196053</v>
      </c>
      <c r="J4" s="164">
        <f t="shared" si="0"/>
        <v>0.38973875244420275</v>
      </c>
      <c r="K4" s="164">
        <f t="shared" si="0"/>
        <v>0.38590811880112263</v>
      </c>
      <c r="M4" s="221"/>
      <c r="N4" s="222"/>
      <c r="O4" s="223"/>
    </row>
    <row r="5" spans="1:15" x14ac:dyDescent="0.25">
      <c r="A5" s="163">
        <v>0.3</v>
      </c>
      <c r="B5" s="164">
        <f t="shared" si="1"/>
        <v>0.38208857781104733</v>
      </c>
      <c r="C5" s="164">
        <f t="shared" si="0"/>
        <v>0.37828047817798072</v>
      </c>
      <c r="D5" s="164">
        <f t="shared" si="0"/>
        <v>0.37448416527667994</v>
      </c>
      <c r="E5" s="164">
        <f t="shared" si="0"/>
        <v>0.37069998105934654</v>
      </c>
      <c r="F5" s="164">
        <f t="shared" si="0"/>
        <v>0.36692826396397193</v>
      </c>
      <c r="G5" s="164">
        <f t="shared" si="0"/>
        <v>0.3631693488243809</v>
      </c>
      <c r="H5" s="164">
        <f t="shared" si="0"/>
        <v>0.35942356678200871</v>
      </c>
      <c r="I5" s="164">
        <f t="shared" si="0"/>
        <v>0.35569124519945317</v>
      </c>
      <c r="J5" s="164">
        <f t="shared" si="0"/>
        <v>0.35197270757583721</v>
      </c>
      <c r="K5" s="164">
        <f t="shared" si="0"/>
        <v>0.34826827346401756</v>
      </c>
    </row>
    <row r="6" spans="1:15" x14ac:dyDescent="0.25">
      <c r="A6" s="163">
        <v>0.4</v>
      </c>
      <c r="B6" s="164">
        <f t="shared" si="1"/>
        <v>0.34457825838967571</v>
      </c>
      <c r="C6" s="164">
        <f t="shared" si="0"/>
        <v>0.34090297377232259</v>
      </c>
      <c r="D6" s="164">
        <f t="shared" si="0"/>
        <v>0.33724272684824941</v>
      </c>
      <c r="E6" s="164">
        <f t="shared" si="0"/>
        <v>0.33359782059545762</v>
      </c>
      <c r="F6" s="164">
        <f t="shared" si="0"/>
        <v>0.32996855366059363</v>
      </c>
      <c r="G6" s="164">
        <f t="shared" si="0"/>
        <v>0.32635522028791997</v>
      </c>
      <c r="H6" s="164">
        <f t="shared" si="0"/>
        <v>0.32275811025034773</v>
      </c>
      <c r="I6" s="164">
        <f t="shared" si="0"/>
        <v>0.3191775087825558</v>
      </c>
      <c r="J6" s="164">
        <f t="shared" si="0"/>
        <v>0.31561369651622251</v>
      </c>
      <c r="K6" s="164">
        <f t="shared" si="0"/>
        <v>0.31206694941739055</v>
      </c>
    </row>
    <row r="7" spans="1:15" x14ac:dyDescent="0.25">
      <c r="A7" s="163">
        <v>0.5</v>
      </c>
      <c r="B7" s="164">
        <f t="shared" si="1"/>
        <v>0.30853753872598688</v>
      </c>
      <c r="C7" s="164">
        <f t="shared" si="0"/>
        <v>0.30502573089751939</v>
      </c>
      <c r="D7" s="164">
        <f t="shared" si="0"/>
        <v>0.30153178754696619</v>
      </c>
      <c r="E7" s="164">
        <f t="shared" si="0"/>
        <v>0.29805596539487644</v>
      </c>
      <c r="F7" s="164">
        <f t="shared" si="0"/>
        <v>0.29459851621569799</v>
      </c>
      <c r="G7" s="164">
        <f t="shared" si="0"/>
        <v>0.29115968678834636</v>
      </c>
      <c r="H7" s="164">
        <f t="shared" si="0"/>
        <v>0.28773971884902705</v>
      </c>
      <c r="I7" s="164">
        <f t="shared" si="0"/>
        <v>0.28433884904632412</v>
      </c>
      <c r="J7" s="164">
        <f t="shared" si="0"/>
        <v>0.2809573088985643</v>
      </c>
      <c r="K7" s="164">
        <f t="shared" si="0"/>
        <v>0.27759532475346493</v>
      </c>
    </row>
    <row r="8" spans="1:15" x14ac:dyDescent="0.25">
      <c r="A8" s="163">
        <v>0.6</v>
      </c>
      <c r="B8" s="164">
        <f t="shared" si="1"/>
        <v>0.27425311775007355</v>
      </c>
      <c r="C8" s="164">
        <f t="shared" si="0"/>
        <v>0.27093090378300566</v>
      </c>
      <c r="D8" s="164">
        <f t="shared" si="0"/>
        <v>0.267628893468983</v>
      </c>
      <c r="E8" s="164">
        <f t="shared" si="0"/>
        <v>0.26434729211567753</v>
      </c>
      <c r="F8" s="164">
        <f t="shared" si="0"/>
        <v>0.26108629969286157</v>
      </c>
      <c r="G8" s="164">
        <f t="shared" si="0"/>
        <v>0.25784611080586473</v>
      </c>
      <c r="H8" s="164">
        <f t="shared" si="0"/>
        <v>0.25462691467133614</v>
      </c>
      <c r="I8" s="164">
        <f t="shared" si="0"/>
        <v>0.25142889509531008</v>
      </c>
      <c r="J8" s="164">
        <f t="shared" si="0"/>
        <v>0.24825223045357048</v>
      </c>
      <c r="K8" s="164">
        <f t="shared" si="0"/>
        <v>0.24509709367430943</v>
      </c>
    </row>
    <row r="9" spans="1:15" x14ac:dyDescent="0.25">
      <c r="A9" s="163">
        <v>0.7</v>
      </c>
      <c r="B9" s="164">
        <f t="shared" si="1"/>
        <v>0.24196365222307303</v>
      </c>
      <c r="C9" s="164">
        <f t="shared" si="0"/>
        <v>0.23885206808998671</v>
      </c>
      <c r="D9" s="164">
        <f t="shared" si="0"/>
        <v>0.23576249777925118</v>
      </c>
      <c r="E9" s="164">
        <f t="shared" si="0"/>
        <v>0.23269509230089747</v>
      </c>
      <c r="F9" s="164">
        <f t="shared" si="0"/>
        <v>0.22964999716479062</v>
      </c>
      <c r="G9" s="164">
        <f t="shared" si="0"/>
        <v>0.22662735237686826</v>
      </c>
      <c r="H9" s="164">
        <f t="shared" si="0"/>
        <v>0.22362729243759938</v>
      </c>
      <c r="I9" s="164">
        <f t="shared" si="0"/>
        <v>0.22064994634264956</v>
      </c>
      <c r="J9" s="164">
        <f t="shared" si="0"/>
        <v>0.21769543758573318</v>
      </c>
      <c r="K9" s="164">
        <f t="shared" si="0"/>
        <v>0.21476388416363723</v>
      </c>
    </row>
    <row r="10" spans="1:15" x14ac:dyDescent="0.25">
      <c r="A10" s="163">
        <v>0.8</v>
      </c>
      <c r="B10" s="164">
        <f t="shared" si="1"/>
        <v>0.21185539858339664</v>
      </c>
      <c r="C10" s="164">
        <f t="shared" si="0"/>
        <v>0.20897008787160165</v>
      </c>
      <c r="D10" s="164">
        <f t="shared" si="0"/>
        <v>0.20610805358581308</v>
      </c>
      <c r="E10" s="164">
        <f t="shared" si="0"/>
        <v>0.20326939182806836</v>
      </c>
      <c r="F10" s="164">
        <f t="shared" si="0"/>
        <v>0.20045419326044966</v>
      </c>
      <c r="G10" s="164">
        <f t="shared" si="0"/>
        <v>0.19766254312269238</v>
      </c>
      <c r="H10" s="164">
        <f t="shared" si="0"/>
        <v>0.19489452125180828</v>
      </c>
      <c r="I10" s="164">
        <f t="shared" si="0"/>
        <v>0.19215020210369615</v>
      </c>
      <c r="J10" s="164">
        <f t="shared" si="0"/>
        <v>0.18942965477671214</v>
      </c>
      <c r="K10" s="164">
        <f t="shared" si="0"/>
        <v>0.18673294303717258</v>
      </c>
    </row>
    <row r="11" spans="1:15" x14ac:dyDescent="0.25">
      <c r="A11" s="163">
        <v>0.9</v>
      </c>
      <c r="B11" s="164">
        <f t="shared" si="1"/>
        <v>0.18406012534675953</v>
      </c>
      <c r="C11" s="164">
        <f t="shared" si="0"/>
        <v>0.18141125489179721</v>
      </c>
      <c r="D11" s="164">
        <f t="shared" si="0"/>
        <v>0.17878637961437172</v>
      </c>
      <c r="E11" s="164">
        <f t="shared" si="0"/>
        <v>0.17618554224525784</v>
      </c>
      <c r="F11" s="164">
        <f t="shared" si="0"/>
        <v>0.17360878033862448</v>
      </c>
      <c r="G11" s="164">
        <f t="shared" si="0"/>
        <v>0.17105612630848177</v>
      </c>
      <c r="H11" s="164">
        <f t="shared" si="0"/>
        <v>0.16852760746683781</v>
      </c>
      <c r="I11" s="164">
        <f t="shared" si="0"/>
        <v>0.16602324606352958</v>
      </c>
      <c r="J11" s="164">
        <f t="shared" si="0"/>
        <v>0.16354305932769231</v>
      </c>
      <c r="K11" s="164">
        <f t="shared" si="0"/>
        <v>0.16108705951083091</v>
      </c>
    </row>
    <row r="12" spans="1:15" x14ac:dyDescent="0.25">
      <c r="A12" s="163">
        <v>1</v>
      </c>
      <c r="B12" s="164">
        <f t="shared" si="1"/>
        <v>0.15865525393145696</v>
      </c>
      <c r="C12" s="164">
        <f t="shared" si="0"/>
        <v>0.15624764502125454</v>
      </c>
      <c r="D12" s="164">
        <f t="shared" si="0"/>
        <v>0.15386423037273489</v>
      </c>
      <c r="E12" s="164">
        <f t="shared" si="0"/>
        <v>0.15150500278834367</v>
      </c>
      <c r="F12" s="164">
        <f t="shared" si="0"/>
        <v>0.14916995033098135</v>
      </c>
      <c r="G12" s="164">
        <f t="shared" si="0"/>
        <v>0.14685905637589591</v>
      </c>
      <c r="H12" s="164">
        <f t="shared" si="0"/>
        <v>0.14457229966390961</v>
      </c>
      <c r="I12" s="164">
        <f t="shared" si="0"/>
        <v>0.14230965435593923</v>
      </c>
      <c r="J12" s="164">
        <f t="shared" si="0"/>
        <v>0.14007109008876906</v>
      </c>
      <c r="K12" s="164">
        <f t="shared" si="0"/>
        <v>0.1378565720320355</v>
      </c>
    </row>
    <row r="13" spans="1:15" x14ac:dyDescent="0.25">
      <c r="A13" s="163">
        <v>1.1000000000000001</v>
      </c>
      <c r="B13" s="164">
        <f t="shared" si="1"/>
        <v>0.13566606094638267</v>
      </c>
      <c r="C13" s="164">
        <f t="shared" si="0"/>
        <v>0.13349951324274723</v>
      </c>
      <c r="D13" s="164">
        <f t="shared" si="0"/>
        <v>0.13135688104273069</v>
      </c>
      <c r="E13" s="164">
        <f t="shared" si="0"/>
        <v>0.1292381122400178</v>
      </c>
      <c r="F13" s="164">
        <f t="shared" si="0"/>
        <v>0.12714315056279824</v>
      </c>
      <c r="G13" s="164">
        <f t="shared" si="0"/>
        <v>0.12507193563715013</v>
      </c>
      <c r="H13" s="164">
        <f t="shared" si="0"/>
        <v>0.12302440305134332</v>
      </c>
      <c r="I13" s="164">
        <f t="shared" si="0"/>
        <v>0.12100048442101818</v>
      </c>
      <c r="J13" s="164">
        <f t="shared" si="0"/>
        <v>0.11900010745520062</v>
      </c>
      <c r="K13" s="164">
        <f t="shared" si="0"/>
        <v>0.11702319602310873</v>
      </c>
    </row>
    <row r="14" spans="1:15" x14ac:dyDescent="0.25">
      <c r="A14" s="163">
        <v>1.2</v>
      </c>
      <c r="B14" s="164">
        <f t="shared" si="1"/>
        <v>0.11506967022170822</v>
      </c>
      <c r="C14" s="164">
        <f t="shared" si="0"/>
        <v>0.11313944644397722</v>
      </c>
      <c r="D14" s="164">
        <f t="shared" si="0"/>
        <v>0.11123243744783462</v>
      </c>
      <c r="E14" s="164">
        <f t="shared" si="0"/>
        <v>0.10934855242569186</v>
      </c>
      <c r="F14" s="164">
        <f t="shared" si="0"/>
        <v>0.10748769707458694</v>
      </c>
      <c r="G14" s="164">
        <f t="shared" si="0"/>
        <v>0.10564977366685524</v>
      </c>
      <c r="H14" s="164">
        <f t="shared" si="0"/>
        <v>0.10383468112130034</v>
      </c>
      <c r="I14" s="164">
        <f t="shared" si="0"/>
        <v>0.10204231507481909</v>
      </c>
      <c r="J14" s="164">
        <f t="shared" si="0"/>
        <v>0.10027256795444206</v>
      </c>
      <c r="K14" s="164">
        <f t="shared" si="0"/>
        <v>9.8525329049747867E-2</v>
      </c>
    </row>
    <row r="15" spans="1:15" x14ac:dyDescent="0.25">
      <c r="A15" s="163">
        <v>1.3</v>
      </c>
      <c r="B15" s="164">
        <f t="shared" si="1"/>
        <v>9.6800484585610302E-2</v>
      </c>
      <c r="C15" s="164">
        <f t="shared" si="0"/>
        <v>9.5097917795239018E-2</v>
      </c>
      <c r="D15" s="164">
        <f t="shared" si="0"/>
        <v>9.3417508993471787E-2</v>
      </c>
      <c r="E15" s="164">
        <f t="shared" si="0"/>
        <v>9.1759135650280821E-2</v>
      </c>
      <c r="F15" s="164">
        <f t="shared" si="0"/>
        <v>9.0122672464452491E-2</v>
      </c>
      <c r="G15" s="164">
        <f t="shared" si="0"/>
        <v>8.8507991437401956E-2</v>
      </c>
      <c r="H15" s="164">
        <f t="shared" si="0"/>
        <v>8.6914961947085034E-2</v>
      </c>
      <c r="I15" s="164">
        <f t="shared" si="0"/>
        <v>8.5343450821966926E-2</v>
      </c>
      <c r="J15" s="164">
        <f t="shared" si="0"/>
        <v>8.3793322415014249E-2</v>
      </c>
      <c r="K15" s="164">
        <f t="shared" si="0"/>
        <v>8.2264438677668861E-2</v>
      </c>
    </row>
    <row r="16" spans="1:15" x14ac:dyDescent="0.25">
      <c r="A16" s="163">
        <v>1.4</v>
      </c>
      <c r="B16" s="164">
        <f t="shared" si="1"/>
        <v>8.0756659233771066E-2</v>
      </c>
      <c r="C16" s="164">
        <f t="shared" si="0"/>
        <v>7.9269841453392442E-2</v>
      </c>
      <c r="D16" s="164">
        <f t="shared" si="0"/>
        <v>7.780384052654632E-2</v>
      </c>
      <c r="E16" s="164">
        <f t="shared" si="0"/>
        <v>7.6358509536739172E-2</v>
      </c>
      <c r="F16" s="164">
        <f t="shared" si="0"/>
        <v>7.4933699534327047E-2</v>
      </c>
      <c r="G16" s="164">
        <f t="shared" si="0"/>
        <v>7.3529259609648401E-2</v>
      </c>
      <c r="H16" s="164">
        <f t="shared" si="0"/>
        <v>7.2145036965893805E-2</v>
      </c>
      <c r="I16" s="164">
        <f t="shared" si="0"/>
        <v>7.078087699168556E-2</v>
      </c>
      <c r="J16" s="164">
        <f t="shared" si="0"/>
        <v>6.9436623333331671E-2</v>
      </c>
      <c r="K16" s="164">
        <f t="shared" si="0"/>
        <v>6.8112117966725449E-2</v>
      </c>
    </row>
    <row r="17" spans="1:11" x14ac:dyDescent="0.25">
      <c r="A17" s="163">
        <v>1.5</v>
      </c>
      <c r="B17" s="164">
        <f t="shared" si="1"/>
        <v>6.6807201268858085E-2</v>
      </c>
      <c r="C17" s="164">
        <f t="shared" si="0"/>
        <v>6.5521712088916439E-2</v>
      </c>
      <c r="D17" s="164">
        <f t="shared" si="0"/>
        <v>6.4255487818935753E-2</v>
      </c>
      <c r="E17" s="164">
        <f t="shared" si="0"/>
        <v>6.3008364463978395E-2</v>
      </c>
      <c r="F17" s="164">
        <f t="shared" si="0"/>
        <v>6.1780176711811907E-2</v>
      </c>
      <c r="G17" s="164">
        <f t="shared" si="0"/>
        <v>6.0570758002059022E-2</v>
      </c>
      <c r="H17" s="164">
        <f t="shared" si="0"/>
        <v>5.9379940594793013E-2</v>
      </c>
      <c r="I17" s="164">
        <f t="shared" si="0"/>
        <v>5.8207555638553066E-2</v>
      </c>
      <c r="J17" s="164">
        <f t="shared" si="0"/>
        <v>5.7053433237754136E-2</v>
      </c>
      <c r="K17" s="164">
        <f t="shared" si="0"/>
        <v>5.5917402519469417E-2</v>
      </c>
    </row>
    <row r="18" spans="1:11" x14ac:dyDescent="0.25">
      <c r="A18" s="163">
        <v>1.6</v>
      </c>
      <c r="B18" s="164">
        <f t="shared" si="1"/>
        <v>5.4799291699557995E-2</v>
      </c>
      <c r="C18" s="164">
        <f t="shared" si="1"/>
        <v>5.3698928148119718E-2</v>
      </c>
      <c r="D18" s="164">
        <f t="shared" si="1"/>
        <v>5.2616138454252059E-2</v>
      </c>
      <c r="E18" s="164">
        <f t="shared" si="1"/>
        <v>5.1550748490089338E-2</v>
      </c>
      <c r="F18" s="164">
        <f t="shared" si="1"/>
        <v>5.0502583474103746E-2</v>
      </c>
      <c r="G18" s="164">
        <f t="shared" si="1"/>
        <v>4.9471468033648103E-2</v>
      </c>
      <c r="H18" s="164">
        <f t="shared" si="1"/>
        <v>4.8457226266722775E-2</v>
      </c>
      <c r="I18" s="164">
        <f t="shared" si="1"/>
        <v>4.7459681802947351E-2</v>
      </c>
      <c r="J18" s="164">
        <f t="shared" si="1"/>
        <v>4.6478657863719963E-2</v>
      </c>
      <c r="K18" s="164">
        <f t="shared" si="1"/>
        <v>4.5513977321549826E-2</v>
      </c>
    </row>
    <row r="19" spans="1:11" x14ac:dyDescent="0.25">
      <c r="A19" s="163">
        <v>1.7</v>
      </c>
      <c r="B19" s="164">
        <f t="shared" ref="B19:K34" si="2">1-_xlfn.NORM.S.DIST($A19+B$1,TRUE)</f>
        <v>4.4565462758543006E-2</v>
      </c>
      <c r="C19" s="164">
        <f t="shared" si="2"/>
        <v>4.3632936524031884E-2</v>
      </c>
      <c r="D19" s="164">
        <f t="shared" si="2"/>
        <v>4.2716220791328863E-2</v>
      </c>
      <c r="E19" s="164">
        <f t="shared" si="2"/>
        <v>4.1815137613594899E-2</v>
      </c>
      <c r="F19" s="164">
        <f t="shared" si="2"/>
        <v>4.0929508978807316E-2</v>
      </c>
      <c r="G19" s="164">
        <f t="shared" si="2"/>
        <v>4.0059156863817114E-2</v>
      </c>
      <c r="H19" s="164">
        <f t="shared" si="2"/>
        <v>3.9203903287482689E-2</v>
      </c>
      <c r="I19" s="164">
        <f t="shared" si="2"/>
        <v>3.8363570362871191E-2</v>
      </c>
      <c r="J19" s="164">
        <f t="shared" si="2"/>
        <v>3.7537980348516742E-2</v>
      </c>
      <c r="K19" s="164">
        <f t="shared" si="2"/>
        <v>3.6726955698726305E-2</v>
      </c>
    </row>
    <row r="20" spans="1:11" x14ac:dyDescent="0.25">
      <c r="A20" s="163">
        <v>1.8</v>
      </c>
      <c r="B20" s="164">
        <f t="shared" si="2"/>
        <v>3.5930319112925768E-2</v>
      </c>
      <c r="C20" s="164">
        <f t="shared" si="2"/>
        <v>3.5147893584038803E-2</v>
      </c>
      <c r="D20" s="164">
        <f t="shared" si="2"/>
        <v>3.4379502445889942E-2</v>
      </c>
      <c r="E20" s="164">
        <f t="shared" si="2"/>
        <v>3.3624969419628337E-2</v>
      </c>
      <c r="F20" s="164">
        <f t="shared" si="2"/>
        <v>3.2884118659163852E-2</v>
      </c>
      <c r="G20" s="164">
        <f t="shared" si="2"/>
        <v>3.2156774795613741E-2</v>
      </c>
      <c r="H20" s="164">
        <f t="shared" si="2"/>
        <v>3.1442762980752659E-2</v>
      </c>
      <c r="I20" s="164">
        <f t="shared" si="2"/>
        <v>3.0741908929465933E-2</v>
      </c>
      <c r="J20" s="164">
        <f t="shared" si="2"/>
        <v>3.0054038961199736E-2</v>
      </c>
      <c r="K20" s="164">
        <f t="shared" si="2"/>
        <v>2.9378980040409397E-2</v>
      </c>
    </row>
    <row r="21" spans="1:11" x14ac:dyDescent="0.25">
      <c r="A21" s="163">
        <v>1.9</v>
      </c>
      <c r="B21" s="164">
        <f t="shared" si="2"/>
        <v>2.8716559816001852E-2</v>
      </c>
      <c r="C21" s="164">
        <f t="shared" si="2"/>
        <v>2.8066606659772564E-2</v>
      </c>
      <c r="D21" s="164">
        <f t="shared" si="2"/>
        <v>2.7428949703836802E-2</v>
      </c>
      <c r="E21" s="164">
        <f t="shared" si="2"/>
        <v>2.6803418877054952E-2</v>
      </c>
      <c r="F21" s="164">
        <f t="shared" si="2"/>
        <v>2.6189844940452733E-2</v>
      </c>
      <c r="G21" s="164">
        <f t="shared" si="2"/>
        <v>2.5588059521638562E-2</v>
      </c>
      <c r="H21" s="164">
        <f t="shared" si="2"/>
        <v>2.4997895148220484E-2</v>
      </c>
      <c r="I21" s="164">
        <f t="shared" si="2"/>
        <v>2.4419185280222577E-2</v>
      </c>
      <c r="J21" s="164">
        <f t="shared" si="2"/>
        <v>2.3851764341508486E-2</v>
      </c>
      <c r="K21" s="164">
        <f t="shared" si="2"/>
        <v>2.3295467750211851E-2</v>
      </c>
    </row>
    <row r="22" spans="1:11" x14ac:dyDescent="0.25">
      <c r="A22" s="163">
        <v>2</v>
      </c>
      <c r="B22" s="164">
        <f t="shared" si="2"/>
        <v>2.2750131948179209E-2</v>
      </c>
      <c r="C22" s="164">
        <f t="shared" si="2"/>
        <v>2.221559442943144E-2</v>
      </c>
      <c r="D22" s="164">
        <f t="shared" si="2"/>
        <v>2.1691693767646791E-2</v>
      </c>
      <c r="E22" s="164">
        <f t="shared" si="2"/>
        <v>2.1178269642672221E-2</v>
      </c>
      <c r="F22" s="164">
        <f t="shared" si="2"/>
        <v>2.0675162866070074E-2</v>
      </c>
      <c r="G22" s="164">
        <f t="shared" si="2"/>
        <v>2.0182215405704418E-2</v>
      </c>
      <c r="H22" s="164">
        <f t="shared" si="2"/>
        <v>1.9699270409376912E-2</v>
      </c>
      <c r="I22" s="164">
        <f t="shared" si="2"/>
        <v>1.9226172227517324E-2</v>
      </c>
      <c r="J22" s="164">
        <f t="shared" si="2"/>
        <v>1.8762766434937794E-2</v>
      </c>
      <c r="K22" s="164">
        <f t="shared" si="2"/>
        <v>1.8308899851658955E-2</v>
      </c>
    </row>
    <row r="23" spans="1:11" x14ac:dyDescent="0.25">
      <c r="A23" s="163">
        <v>2.1</v>
      </c>
      <c r="B23" s="164">
        <f t="shared" si="2"/>
        <v>1.7864420562816563E-2</v>
      </c>
      <c r="C23" s="164">
        <f t="shared" si="2"/>
        <v>1.7429177937657081E-2</v>
      </c>
      <c r="D23" s="164">
        <f t="shared" si="2"/>
        <v>1.700302264763276E-2</v>
      </c>
      <c r="E23" s="164">
        <f t="shared" si="2"/>
        <v>1.6585806683604987E-2</v>
      </c>
      <c r="F23" s="164">
        <f t="shared" si="2"/>
        <v>1.6177383372166121E-2</v>
      </c>
      <c r="G23" s="164">
        <f t="shared" si="2"/>
        <v>1.5777607391090465E-2</v>
      </c>
      <c r="H23" s="164">
        <f t="shared" si="2"/>
        <v>1.5386334783925482E-2</v>
      </c>
      <c r="I23" s="164">
        <f t="shared" si="2"/>
        <v>1.500342297373225E-2</v>
      </c>
      <c r="J23" s="164">
        <f t="shared" si="2"/>
        <v>1.4628730775989252E-2</v>
      </c>
      <c r="K23" s="164">
        <f t="shared" si="2"/>
        <v>1.4262118410668823E-2</v>
      </c>
    </row>
    <row r="24" spans="1:11" x14ac:dyDescent="0.25">
      <c r="A24" s="163">
        <v>2.2000000000000002</v>
      </c>
      <c r="B24" s="164">
        <f t="shared" si="2"/>
        <v>1.390344751349859E-2</v>
      </c>
      <c r="C24" s="164">
        <f t="shared" si="2"/>
        <v>1.3552581146419995E-2</v>
      </c>
      <c r="D24" s="164">
        <f t="shared" si="2"/>
        <v>1.3209383807256225E-2</v>
      </c>
      <c r="E24" s="164">
        <f t="shared" si="2"/>
        <v>1.2873721438601993E-2</v>
      </c>
      <c r="F24" s="164">
        <f t="shared" si="2"/>
        <v>1.2545461435946592E-2</v>
      </c>
      <c r="G24" s="164">
        <f t="shared" si="2"/>
        <v>1.2224472655044671E-2</v>
      </c>
      <c r="H24" s="164">
        <f t="shared" si="2"/>
        <v>1.1910625418547038E-2</v>
      </c>
      <c r="I24" s="164">
        <f t="shared" si="2"/>
        <v>1.1603791521903495E-2</v>
      </c>
      <c r="J24" s="164">
        <f t="shared" si="2"/>
        <v>1.1303844238552796E-2</v>
      </c>
      <c r="K24" s="164">
        <f t="shared" si="2"/>
        <v>1.1010658324411393E-2</v>
      </c>
    </row>
    <row r="25" spans="1:11" x14ac:dyDescent="0.25">
      <c r="A25" s="163">
        <v>2.2999999999999998</v>
      </c>
      <c r="B25" s="164">
        <f t="shared" si="2"/>
        <v>1.0724110021675837E-2</v>
      </c>
      <c r="C25" s="164">
        <f t="shared" si="2"/>
        <v>1.0444077061951051E-2</v>
      </c>
      <c r="D25" s="164">
        <f t="shared" si="2"/>
        <v>1.0170438668719695E-2</v>
      </c>
      <c r="E25" s="164">
        <f t="shared" si="2"/>
        <v>9.9030755591642539E-3</v>
      </c>
      <c r="F25" s="164">
        <f t="shared" si="2"/>
        <v>9.6418699453583168E-3</v>
      </c>
      <c r="G25" s="164">
        <f t="shared" si="2"/>
        <v>9.3867055348385575E-3</v>
      </c>
      <c r="H25" s="164">
        <f t="shared" si="2"/>
        <v>9.1374675305726516E-3</v>
      </c>
      <c r="I25" s="164">
        <f t="shared" si="2"/>
        <v>8.8940426303367737E-3</v>
      </c>
      <c r="J25" s="164">
        <f t="shared" si="2"/>
        <v>8.6563190255165567E-3</v>
      </c>
      <c r="K25" s="164">
        <f t="shared" si="2"/>
        <v>8.4241863993457233E-3</v>
      </c>
    </row>
    <row r="26" spans="1:11" x14ac:dyDescent="0.25">
      <c r="A26" s="163">
        <v>2.4</v>
      </c>
      <c r="B26" s="164">
        <f t="shared" si="2"/>
        <v>8.1975359245961554E-3</v>
      </c>
      <c r="C26" s="164">
        <f t="shared" si="2"/>
        <v>7.9762602607337252E-3</v>
      </c>
      <c r="D26" s="164">
        <f t="shared" si="2"/>
        <v>7.760253550553653E-3</v>
      </c>
      <c r="E26" s="164">
        <f t="shared" si="2"/>
        <v>7.5494114163091597E-3</v>
      </c>
      <c r="F26" s="164">
        <f t="shared" si="2"/>
        <v>7.3436309553482904E-3</v>
      </c>
      <c r="G26" s="164">
        <f t="shared" si="2"/>
        <v>7.1428107352714543E-3</v>
      </c>
      <c r="H26" s="164">
        <f t="shared" si="2"/>
        <v>6.9468507886243369E-3</v>
      </c>
      <c r="I26" s="164">
        <f t="shared" si="2"/>
        <v>6.7556526071406164E-3</v>
      </c>
      <c r="J26" s="164">
        <f t="shared" si="2"/>
        <v>6.5691191355468082E-3</v>
      </c>
      <c r="K26" s="164">
        <f t="shared" si="2"/>
        <v>6.3871547649432259E-3</v>
      </c>
    </row>
    <row r="27" spans="1:11" x14ac:dyDescent="0.25">
      <c r="A27" s="163">
        <v>2.5</v>
      </c>
      <c r="B27" s="164">
        <f t="shared" si="2"/>
        <v>6.2096653257761592E-3</v>
      </c>
      <c r="C27" s="164">
        <f t="shared" si="2"/>
        <v>6.0365580804127017E-3</v>
      </c>
      <c r="D27" s="164">
        <f t="shared" si="2"/>
        <v>5.8677417153325528E-3</v>
      </c>
      <c r="E27" s="164">
        <f t="shared" si="2"/>
        <v>5.7031263329506698E-3</v>
      </c>
      <c r="F27" s="164">
        <f t="shared" si="2"/>
        <v>5.5426234430826504E-3</v>
      </c>
      <c r="G27" s="164">
        <f t="shared" si="2"/>
        <v>5.3861459540667234E-3</v>
      </c>
      <c r="H27" s="164">
        <f t="shared" si="2"/>
        <v>5.2336081635557807E-3</v>
      </c>
      <c r="I27" s="164">
        <f t="shared" si="2"/>
        <v>5.0849257489909983E-3</v>
      </c>
      <c r="J27" s="164">
        <f t="shared" si="2"/>
        <v>4.9400157577705883E-3</v>
      </c>
      <c r="K27" s="164">
        <f t="shared" si="2"/>
        <v>4.7987965971262314E-3</v>
      </c>
    </row>
    <row r="28" spans="1:11" x14ac:dyDescent="0.25">
      <c r="A28" s="163">
        <v>2.6</v>
      </c>
      <c r="B28" s="164">
        <f t="shared" si="2"/>
        <v>4.661188023718732E-3</v>
      </c>
      <c r="C28" s="164">
        <f t="shared" si="2"/>
        <v>4.5271111329673319E-3</v>
      </c>
      <c r="D28" s="164">
        <f t="shared" si="2"/>
        <v>4.3964883481213413E-3</v>
      </c>
      <c r="E28" s="164">
        <f t="shared" si="2"/>
        <v>4.2692434090892961E-3</v>
      </c>
      <c r="F28" s="164">
        <f t="shared" si="2"/>
        <v>4.14530136103608E-3</v>
      </c>
      <c r="G28" s="164">
        <f t="shared" si="2"/>
        <v>4.0245885427583339E-3</v>
      </c>
      <c r="H28" s="164">
        <f t="shared" si="2"/>
        <v>3.907032574852809E-3</v>
      </c>
      <c r="I28" s="164">
        <f t="shared" si="2"/>
        <v>3.7925623476854353E-3</v>
      </c>
      <c r="J28" s="164">
        <f t="shared" si="2"/>
        <v>3.6811080091749826E-3</v>
      </c>
      <c r="K28" s="164">
        <f t="shared" si="2"/>
        <v>3.5726009523997515E-3</v>
      </c>
    </row>
    <row r="29" spans="1:11" x14ac:dyDescent="0.25">
      <c r="A29" s="163">
        <v>2.7</v>
      </c>
      <c r="B29" s="164">
        <f t="shared" si="2"/>
        <v>3.4669738030406183E-3</v>
      </c>
      <c r="C29" s="164">
        <f t="shared" si="2"/>
        <v>3.3641604066692032E-3</v>
      </c>
      <c r="D29" s="164">
        <f t="shared" si="2"/>
        <v>3.2640958158912659E-3</v>
      </c>
      <c r="E29" s="164">
        <f t="shared" si="2"/>
        <v>3.1667162773577617E-3</v>
      </c>
      <c r="F29" s="164">
        <f t="shared" si="2"/>
        <v>3.0719592186504441E-3</v>
      </c>
      <c r="G29" s="164">
        <f t="shared" si="2"/>
        <v>2.9797632350545555E-3</v>
      </c>
      <c r="H29" s="164">
        <f t="shared" si="2"/>
        <v>2.8900680762261599E-3</v>
      </c>
      <c r="I29" s="164">
        <f t="shared" si="2"/>
        <v>2.8028146327649939E-3</v>
      </c>
      <c r="J29" s="164">
        <f t="shared" si="2"/>
        <v>2.7179449227012764E-3</v>
      </c>
      <c r="K29" s="164">
        <f t="shared" si="2"/>
        <v>2.6354020779049137E-3</v>
      </c>
    </row>
    <row r="30" spans="1:11" x14ac:dyDescent="0.25">
      <c r="A30" s="163">
        <v>2.8</v>
      </c>
      <c r="B30" s="164">
        <f t="shared" si="2"/>
        <v>2.5551303304279793E-3</v>
      </c>
      <c r="C30" s="164">
        <f t="shared" si="2"/>
        <v>2.4770749987859109E-3</v>
      </c>
      <c r="D30" s="164">
        <f t="shared" si="2"/>
        <v>2.4011824741893006E-3</v>
      </c>
      <c r="E30" s="164">
        <f t="shared" si="2"/>
        <v>2.3274002067315003E-3</v>
      </c>
      <c r="F30" s="164">
        <f t="shared" si="2"/>
        <v>2.2556766915423632E-3</v>
      </c>
      <c r="G30" s="164">
        <f t="shared" si="2"/>
        <v>2.1859614549132322E-3</v>
      </c>
      <c r="H30" s="164">
        <f t="shared" si="2"/>
        <v>2.1182050404046082E-3</v>
      </c>
      <c r="I30" s="164">
        <f t="shared" si="2"/>
        <v>2.0523589949397181E-3</v>
      </c>
      <c r="J30" s="164">
        <f t="shared" si="2"/>
        <v>1.9883758548943087E-3</v>
      </c>
      <c r="K30" s="164">
        <f t="shared" si="2"/>
        <v>1.9262091321878838E-3</v>
      </c>
    </row>
    <row r="31" spans="1:11" x14ac:dyDescent="0.25">
      <c r="A31" s="163">
        <v>2.9</v>
      </c>
      <c r="B31" s="164">
        <f t="shared" si="2"/>
        <v>1.8658133003840449E-3</v>
      </c>
      <c r="C31" s="164">
        <f t="shared" si="2"/>
        <v>1.8071437808064861E-3</v>
      </c>
      <c r="D31" s="164">
        <f t="shared" si="2"/>
        <v>1.7501569286760832E-3</v>
      </c>
      <c r="E31" s="164">
        <f t="shared" si="2"/>
        <v>1.694810019277293E-3</v>
      </c>
      <c r="F31" s="164">
        <f t="shared" si="2"/>
        <v>1.6410612341569708E-3</v>
      </c>
      <c r="G31" s="164">
        <f t="shared" si="2"/>
        <v>1.5888696473648212E-3</v>
      </c>
      <c r="H31" s="164">
        <f t="shared" si="2"/>
        <v>1.538195211738036E-3</v>
      </c>
      <c r="I31" s="164">
        <f t="shared" si="2"/>
        <v>1.4889987452374465E-3</v>
      </c>
      <c r="J31" s="164">
        <f t="shared" si="2"/>
        <v>1.4412419173399638E-3</v>
      </c>
      <c r="K31" s="164">
        <f t="shared" si="2"/>
        <v>1.3948872354923036E-3</v>
      </c>
    </row>
    <row r="32" spans="1:11" x14ac:dyDescent="0.25">
      <c r="A32" s="163">
        <v>3</v>
      </c>
      <c r="B32" s="164">
        <f t="shared" si="2"/>
        <v>1.3498980316301035E-3</v>
      </c>
      <c r="C32" s="164">
        <f t="shared" si="2"/>
        <v>1.3062384487694256E-3</v>
      </c>
      <c r="D32" s="164">
        <f t="shared" si="2"/>
        <v>1.2638734276723129E-3</v>
      </c>
      <c r="E32" s="164">
        <f t="shared" si="2"/>
        <v>1.2227686935922799E-3</v>
      </c>
      <c r="F32" s="164">
        <f t="shared" si="2"/>
        <v>1.1828907431044033E-3</v>
      </c>
      <c r="G32" s="164">
        <f t="shared" si="2"/>
        <v>1.1442068310226761E-3</v>
      </c>
      <c r="H32" s="164">
        <f t="shared" si="2"/>
        <v>1.1066849574092874E-3</v>
      </c>
      <c r="I32" s="164">
        <f t="shared" si="2"/>
        <v>1.0702938546789387E-3</v>
      </c>
      <c r="J32" s="164">
        <f t="shared" si="2"/>
        <v>1.0350029748028566E-3</v>
      </c>
      <c r="K32" s="164">
        <f t="shared" si="2"/>
        <v>1.0007824766140594E-3</v>
      </c>
    </row>
    <row r="33" spans="1:11" x14ac:dyDescent="0.25">
      <c r="A33" s="163">
        <v>3.1</v>
      </c>
      <c r="B33" s="164">
        <f t="shared" si="2"/>
        <v>9.6760321321831544E-4</v>
      </c>
      <c r="C33" s="164">
        <f t="shared" si="2"/>
        <v>9.3543671951412666E-4</v>
      </c>
      <c r="D33" s="164">
        <f t="shared" si="2"/>
        <v>9.042551998222903E-4</v>
      </c>
      <c r="E33" s="164">
        <f t="shared" si="2"/>
        <v>8.7403151563159032E-4</v>
      </c>
      <c r="F33" s="164">
        <f t="shared" si="2"/>
        <v>8.447391734586196E-4</v>
      </c>
      <c r="G33" s="164">
        <f t="shared" si="2"/>
        <v>8.1635231282861653E-4</v>
      </c>
      <c r="H33" s="164">
        <f t="shared" si="2"/>
        <v>7.8884569437553953E-4</v>
      </c>
      <c r="I33" s="164">
        <f t="shared" si="2"/>
        <v>7.6219468806726365E-4</v>
      </c>
      <c r="J33" s="164">
        <f t="shared" si="2"/>
        <v>7.3637526155390098E-4</v>
      </c>
      <c r="K33" s="164">
        <f t="shared" si="2"/>
        <v>7.1136396864535101E-4</v>
      </c>
    </row>
    <row r="34" spans="1:11" x14ac:dyDescent="0.25">
      <c r="A34" s="163">
        <v>3.2</v>
      </c>
      <c r="B34" s="164">
        <f t="shared" si="2"/>
        <v>6.8713793791586042E-4</v>
      </c>
      <c r="C34" s="164">
        <f t="shared" si="2"/>
        <v>6.6367486143992238E-4</v>
      </c>
      <c r="D34" s="164">
        <f t="shared" si="2"/>
        <v>6.4095298366007025E-4</v>
      </c>
      <c r="E34" s="164">
        <f t="shared" si="2"/>
        <v>6.1895109038678786E-4</v>
      </c>
      <c r="F34" s="164">
        <f t="shared" si="2"/>
        <v>5.976484979344221E-4</v>
      </c>
      <c r="G34" s="164">
        <f t="shared" si="2"/>
        <v>5.7702504239076635E-4</v>
      </c>
      <c r="H34" s="164">
        <f t="shared" si="2"/>
        <v>5.5706106902464469E-4</v>
      </c>
      <c r="I34" s="164">
        <f t="shared" si="2"/>
        <v>5.377374218297204E-4</v>
      </c>
      <c r="J34" s="164">
        <f t="shared" si="2"/>
        <v>5.1903543320697132E-4</v>
      </c>
      <c r="K34" s="164">
        <f t="shared" si="2"/>
        <v>5.0093691378572114E-4</v>
      </c>
    </row>
    <row r="35" spans="1:11" x14ac:dyDescent="0.25">
      <c r="A35" s="163">
        <v>3.3</v>
      </c>
      <c r="B35" s="164">
        <f t="shared" ref="B35:K37" si="3">1-_xlfn.NORM.S.DIST($A35+B$1,TRUE)</f>
        <v>4.8342414238378151E-4</v>
      </c>
      <c r="C35" s="164">
        <f t="shared" si="3"/>
        <v>4.6647985610759335E-4</v>
      </c>
      <c r="D35" s="164">
        <f t="shared" si="3"/>
        <v>4.5008724059214522E-4</v>
      </c>
      <c r="E35" s="164">
        <f t="shared" si="3"/>
        <v>4.3422992038166797E-4</v>
      </c>
      <c r="F35" s="164">
        <f t="shared" si="3"/>
        <v>4.1889194945032848E-4</v>
      </c>
      <c r="G35" s="164">
        <f t="shared" si="3"/>
        <v>4.0405780186403284E-4</v>
      </c>
      <c r="H35" s="164">
        <f t="shared" si="3"/>
        <v>3.8971236258200648E-4</v>
      </c>
      <c r="I35" s="164">
        <f t="shared" si="3"/>
        <v>3.7584091840003886E-4</v>
      </c>
      <c r="J35" s="164">
        <f t="shared" si="3"/>
        <v>3.6242914903306112E-4</v>
      </c>
      <c r="K35" s="164">
        <f t="shared" si="3"/>
        <v>3.4946311833794486E-4</v>
      </c>
    </row>
    <row r="36" spans="1:11" x14ac:dyDescent="0.25">
      <c r="A36" s="163">
        <v>3.4</v>
      </c>
      <c r="B36" s="164">
        <f t="shared" si="3"/>
        <v>3.3692926567685522E-4</v>
      </c>
      <c r="C36" s="164">
        <f t="shared" si="3"/>
        <v>3.2481439741882667E-4</v>
      </c>
      <c r="D36" s="164">
        <f t="shared" si="3"/>
        <v>3.1310567858122695E-4</v>
      </c>
      <c r="E36" s="164">
        <f t="shared" si="3"/>
        <v>3.0179062460866657E-4</v>
      </c>
      <c r="F36" s="164">
        <f t="shared" si="3"/>
        <v>2.9085709329079723E-4</v>
      </c>
      <c r="G36" s="164">
        <f t="shared" si="3"/>
        <v>2.8029327681622362E-4</v>
      </c>
      <c r="H36" s="164">
        <f t="shared" si="3"/>
        <v>2.7008769396352772E-4</v>
      </c>
      <c r="I36" s="164">
        <f t="shared" si="3"/>
        <v>2.6022918242751825E-4</v>
      </c>
      <c r="J36" s="164">
        <f t="shared" si="3"/>
        <v>2.5070689128048329E-4</v>
      </c>
      <c r="K36" s="164">
        <f t="shared" si="3"/>
        <v>2.415102735678909E-4</v>
      </c>
    </row>
    <row r="37" spans="1:11" x14ac:dyDescent="0.25">
      <c r="A37" s="163">
        <v>3.5</v>
      </c>
      <c r="B37" s="164">
        <f t="shared" si="3"/>
        <v>2.3262907903554009E-4</v>
      </c>
      <c r="C37" s="164">
        <f t="shared" si="3"/>
        <v>2.2405334699104884E-4</v>
      </c>
      <c r="D37" s="164">
        <f t="shared" si="3"/>
        <v>2.1577339929468309E-4</v>
      </c>
      <c r="E37" s="164">
        <f t="shared" si="3"/>
        <v>2.0777983348063689E-4</v>
      </c>
      <c r="F37" s="164">
        <f t="shared" si="3"/>
        <v>2.0006351600732053E-4</v>
      </c>
      <c r="G37" s="164">
        <f t="shared" si="3"/>
        <v>1.9261557563565734E-4</v>
      </c>
      <c r="H37" s="164">
        <f t="shared" si="3"/>
        <v>1.8542739693327981E-4</v>
      </c>
      <c r="I37" s="164">
        <f t="shared" si="3"/>
        <v>1.78490613904847E-4</v>
      </c>
      <c r="J37" s="164">
        <f t="shared" si="3"/>
        <v>1.7179710374592982E-4</v>
      </c>
      <c r="K37" s="164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60" t="s">
        <v>240</v>
      </c>
      <c r="B1" s="224">
        <v>0.01</v>
      </c>
      <c r="C1" s="226">
        <v>2.5000000000000001E-2</v>
      </c>
      <c r="D1" s="224">
        <v>0.05</v>
      </c>
      <c r="E1" s="224">
        <v>0.1</v>
      </c>
      <c r="G1" s="215" t="s">
        <v>241</v>
      </c>
      <c r="H1" s="216"/>
      <c r="I1" s="216"/>
      <c r="J1" s="217"/>
    </row>
    <row r="2" spans="1:10" x14ac:dyDescent="0.25">
      <c r="A2" s="160" t="s">
        <v>242</v>
      </c>
      <c r="B2" s="225"/>
      <c r="C2" s="227"/>
      <c r="D2" s="225"/>
      <c r="E2" s="225"/>
      <c r="G2" s="218"/>
      <c r="H2" s="219"/>
      <c r="I2" s="219"/>
      <c r="J2" s="220"/>
    </row>
    <row r="3" spans="1:10" x14ac:dyDescent="0.25">
      <c r="A3" s="165">
        <v>1</v>
      </c>
      <c r="B3" s="147">
        <f t="shared" ref="B3:E18" si="0">_xlfn.CHISQ.INV.RT(B$1,$A3)</f>
        <v>6.6348966010212118</v>
      </c>
      <c r="C3" s="147">
        <f t="shared" si="0"/>
        <v>5.0238861873148863</v>
      </c>
      <c r="D3" s="147">
        <f t="shared" si="0"/>
        <v>3.8414588206941236</v>
      </c>
      <c r="E3" s="147">
        <f t="shared" si="0"/>
        <v>2.7055434540954142</v>
      </c>
      <c r="G3" s="218"/>
      <c r="H3" s="219"/>
      <c r="I3" s="219"/>
      <c r="J3" s="220"/>
    </row>
    <row r="4" spans="1:10" x14ac:dyDescent="0.25">
      <c r="A4" s="165">
        <v>2</v>
      </c>
      <c r="B4" s="147">
        <f t="shared" si="0"/>
        <v>9.2103403719761818</v>
      </c>
      <c r="C4" s="147">
        <f t="shared" si="0"/>
        <v>7.3777589082278725</v>
      </c>
      <c r="D4" s="147">
        <f t="shared" si="0"/>
        <v>5.9914645471079817</v>
      </c>
      <c r="E4" s="147">
        <f t="shared" si="0"/>
        <v>4.6051701859880909</v>
      </c>
      <c r="G4" s="218"/>
      <c r="H4" s="219"/>
      <c r="I4" s="219"/>
      <c r="J4" s="220"/>
    </row>
    <row r="5" spans="1:10" x14ac:dyDescent="0.25">
      <c r="A5" s="165">
        <v>3</v>
      </c>
      <c r="B5" s="147">
        <f t="shared" si="0"/>
        <v>11.344866730144371</v>
      </c>
      <c r="C5" s="147">
        <f t="shared" si="0"/>
        <v>9.3484036044961485</v>
      </c>
      <c r="D5" s="147">
        <f t="shared" si="0"/>
        <v>7.8147279032511792</v>
      </c>
      <c r="E5" s="147">
        <f t="shared" si="0"/>
        <v>6.2513886311703235</v>
      </c>
      <c r="G5" s="221"/>
      <c r="H5" s="222"/>
      <c r="I5" s="222"/>
      <c r="J5" s="223"/>
    </row>
    <row r="6" spans="1:10" x14ac:dyDescent="0.25">
      <c r="A6" s="165">
        <v>4</v>
      </c>
      <c r="B6" s="147">
        <f t="shared" si="0"/>
        <v>13.276704135987623</v>
      </c>
      <c r="C6" s="147">
        <f t="shared" si="0"/>
        <v>11.143286781877798</v>
      </c>
      <c r="D6" s="147">
        <f t="shared" si="0"/>
        <v>9.4877290367811575</v>
      </c>
      <c r="E6" s="147">
        <f t="shared" si="0"/>
        <v>7.7794403397348582</v>
      </c>
    </row>
    <row r="7" spans="1:10" x14ac:dyDescent="0.25">
      <c r="A7" s="165">
        <v>5</v>
      </c>
      <c r="B7" s="147">
        <f t="shared" si="0"/>
        <v>15.086272469388991</v>
      </c>
      <c r="C7" s="147">
        <f t="shared" si="0"/>
        <v>12.832501994030029</v>
      </c>
      <c r="D7" s="147">
        <f t="shared" si="0"/>
        <v>11.070497693516353</v>
      </c>
      <c r="E7" s="147">
        <f t="shared" si="0"/>
        <v>9.2363568997811178</v>
      </c>
    </row>
    <row r="8" spans="1:10" x14ac:dyDescent="0.25">
      <c r="A8" s="165">
        <v>6</v>
      </c>
      <c r="B8" s="147">
        <f t="shared" si="0"/>
        <v>16.811893829770931</v>
      </c>
      <c r="C8" s="147">
        <f t="shared" si="0"/>
        <v>14.449375335447922</v>
      </c>
      <c r="D8" s="147">
        <f t="shared" si="0"/>
        <v>12.591587243743978</v>
      </c>
      <c r="E8" s="147">
        <f t="shared" si="0"/>
        <v>10.64464067566842</v>
      </c>
    </row>
    <row r="9" spans="1:10" x14ac:dyDescent="0.25">
      <c r="A9" s="165">
        <v>7</v>
      </c>
      <c r="B9" s="147">
        <f t="shared" si="0"/>
        <v>18.475306906582361</v>
      </c>
      <c r="C9" s="147">
        <f t="shared" si="0"/>
        <v>16.012764274629326</v>
      </c>
      <c r="D9" s="147">
        <f t="shared" si="0"/>
        <v>14.067140449340167</v>
      </c>
      <c r="E9" s="147">
        <f t="shared" si="0"/>
        <v>12.01703662378053</v>
      </c>
    </row>
    <row r="10" spans="1:10" x14ac:dyDescent="0.25">
      <c r="A10" s="165">
        <v>8</v>
      </c>
      <c r="B10" s="147">
        <f t="shared" si="0"/>
        <v>20.090235029663233</v>
      </c>
      <c r="C10" s="147">
        <f t="shared" si="0"/>
        <v>17.53454613948465</v>
      </c>
      <c r="D10" s="147">
        <f t="shared" si="0"/>
        <v>15.507313055865453</v>
      </c>
      <c r="E10" s="147">
        <f t="shared" si="0"/>
        <v>13.361566136511726</v>
      </c>
    </row>
    <row r="11" spans="1:10" x14ac:dyDescent="0.25">
      <c r="A11" s="165">
        <v>9</v>
      </c>
      <c r="B11" s="147">
        <f t="shared" si="0"/>
        <v>21.665994333461931</v>
      </c>
      <c r="C11" s="147">
        <f t="shared" si="0"/>
        <v>19.022767798641635</v>
      </c>
      <c r="D11" s="147">
        <f t="shared" si="0"/>
        <v>16.918977604620451</v>
      </c>
      <c r="E11" s="147">
        <f t="shared" si="0"/>
        <v>14.683656573259835</v>
      </c>
    </row>
    <row r="12" spans="1:10" x14ac:dyDescent="0.25">
      <c r="A12" s="165">
        <v>10</v>
      </c>
      <c r="B12" s="147">
        <f t="shared" si="0"/>
        <v>23.209251158954359</v>
      </c>
      <c r="C12" s="147">
        <f t="shared" si="0"/>
        <v>20.483177350807395</v>
      </c>
      <c r="D12" s="147">
        <f t="shared" si="0"/>
        <v>18.307038053275146</v>
      </c>
      <c r="E12" s="147">
        <f t="shared" si="0"/>
        <v>15.987179172105261</v>
      </c>
    </row>
    <row r="13" spans="1:10" x14ac:dyDescent="0.25">
      <c r="A13" s="165">
        <v>11</v>
      </c>
      <c r="B13" s="147">
        <f t="shared" si="0"/>
        <v>24.724970311318284</v>
      </c>
      <c r="C13" s="147">
        <f t="shared" si="0"/>
        <v>21.920049261021205</v>
      </c>
      <c r="D13" s="147">
        <f t="shared" si="0"/>
        <v>19.675137572682498</v>
      </c>
      <c r="E13" s="147">
        <f t="shared" si="0"/>
        <v>17.275008517500069</v>
      </c>
    </row>
    <row r="14" spans="1:10" x14ac:dyDescent="0.25">
      <c r="A14" s="165">
        <v>12</v>
      </c>
      <c r="B14" s="147">
        <f t="shared" si="0"/>
        <v>26.216967305535849</v>
      </c>
      <c r="C14" s="147">
        <f t="shared" si="0"/>
        <v>23.336664158645338</v>
      </c>
      <c r="D14" s="147">
        <f t="shared" si="0"/>
        <v>21.026069817483066</v>
      </c>
      <c r="E14" s="147">
        <f t="shared" si="0"/>
        <v>18.549347786703244</v>
      </c>
    </row>
    <row r="15" spans="1:10" x14ac:dyDescent="0.25">
      <c r="A15" s="165">
        <v>13</v>
      </c>
      <c r="B15" s="147">
        <f t="shared" si="0"/>
        <v>27.688249610457049</v>
      </c>
      <c r="C15" s="147">
        <f t="shared" si="0"/>
        <v>24.73560488493154</v>
      </c>
      <c r="D15" s="147">
        <f t="shared" si="0"/>
        <v>22.362032494826938</v>
      </c>
      <c r="E15" s="147">
        <f t="shared" si="0"/>
        <v>19.81192930712756</v>
      </c>
    </row>
    <row r="16" spans="1:10" x14ac:dyDescent="0.25">
      <c r="A16" s="165">
        <v>14</v>
      </c>
      <c r="B16" s="147">
        <f t="shared" si="0"/>
        <v>29.141237740672796</v>
      </c>
      <c r="C16" s="147">
        <f t="shared" si="0"/>
        <v>26.118948045037371</v>
      </c>
      <c r="D16" s="147">
        <f t="shared" si="0"/>
        <v>23.68479130484058</v>
      </c>
      <c r="E16" s="147">
        <f t="shared" si="0"/>
        <v>21.064144212997057</v>
      </c>
    </row>
    <row r="17" spans="1:5" x14ac:dyDescent="0.25">
      <c r="A17" s="165">
        <v>15</v>
      </c>
      <c r="B17" s="147">
        <f t="shared" si="0"/>
        <v>30.577914166892494</v>
      </c>
      <c r="C17" s="147">
        <f t="shared" si="0"/>
        <v>27.488392863442982</v>
      </c>
      <c r="D17" s="147">
        <f t="shared" si="0"/>
        <v>24.99579013972863</v>
      </c>
      <c r="E17" s="147">
        <f t="shared" si="0"/>
        <v>22.307129581578689</v>
      </c>
    </row>
    <row r="18" spans="1:5" x14ac:dyDescent="0.25">
      <c r="A18" s="165">
        <v>16</v>
      </c>
      <c r="B18" s="147">
        <f t="shared" si="0"/>
        <v>31.999926908815183</v>
      </c>
      <c r="C18" s="147">
        <f t="shared" si="0"/>
        <v>28.84535072340476</v>
      </c>
      <c r="D18" s="147">
        <f t="shared" si="0"/>
        <v>26.296227604864239</v>
      </c>
      <c r="E18" s="147">
        <f t="shared" si="0"/>
        <v>23.541828923096112</v>
      </c>
    </row>
    <row r="19" spans="1:5" x14ac:dyDescent="0.25">
      <c r="A19" s="165">
        <v>17</v>
      </c>
      <c r="B19" s="147">
        <f t="shared" ref="B19:E32" si="1">_xlfn.CHISQ.INV.RT(B$1,$A19)</f>
        <v>33.408663605004612</v>
      </c>
      <c r="C19" s="147">
        <f t="shared" si="1"/>
        <v>30.191009121639812</v>
      </c>
      <c r="D19" s="147">
        <f t="shared" si="1"/>
        <v>27.587111638275324</v>
      </c>
      <c r="E19" s="147">
        <f t="shared" si="1"/>
        <v>24.76903534390145</v>
      </c>
    </row>
    <row r="20" spans="1:5" x14ac:dyDescent="0.25">
      <c r="A20" s="165">
        <v>18</v>
      </c>
      <c r="B20" s="147">
        <f t="shared" si="1"/>
        <v>34.805305734705072</v>
      </c>
      <c r="C20" s="147">
        <f t="shared" si="1"/>
        <v>31.52637844038663</v>
      </c>
      <c r="D20" s="147">
        <f t="shared" si="1"/>
        <v>28.869299430392633</v>
      </c>
      <c r="E20" s="147">
        <f t="shared" si="1"/>
        <v>25.989423082637209</v>
      </c>
    </row>
    <row r="21" spans="1:5" x14ac:dyDescent="0.25">
      <c r="A21" s="165">
        <v>19</v>
      </c>
      <c r="B21" s="147">
        <f t="shared" si="1"/>
        <v>36.190869129270048</v>
      </c>
      <c r="C21" s="147">
        <f t="shared" si="1"/>
        <v>32.852326861729708</v>
      </c>
      <c r="D21" s="147">
        <f t="shared" si="1"/>
        <v>30.143527205646155</v>
      </c>
      <c r="E21" s="147">
        <f t="shared" si="1"/>
        <v>27.203571029356826</v>
      </c>
    </row>
    <row r="22" spans="1:5" x14ac:dyDescent="0.25">
      <c r="A22" s="165">
        <v>20</v>
      </c>
      <c r="B22" s="147">
        <f t="shared" si="1"/>
        <v>37.566234786625053</v>
      </c>
      <c r="C22" s="147">
        <f t="shared" si="1"/>
        <v>34.169606902838339</v>
      </c>
      <c r="D22" s="147">
        <f t="shared" si="1"/>
        <v>31.410432844230925</v>
      </c>
      <c r="E22" s="147">
        <f t="shared" si="1"/>
        <v>28.411980584305635</v>
      </c>
    </row>
    <row r="23" spans="1:5" x14ac:dyDescent="0.25">
      <c r="A23" s="165">
        <v>21</v>
      </c>
      <c r="B23" s="147">
        <f t="shared" si="1"/>
        <v>38.932172683516065</v>
      </c>
      <c r="C23" s="147">
        <f t="shared" si="1"/>
        <v>35.478875905727257</v>
      </c>
      <c r="D23" s="147">
        <f t="shared" si="1"/>
        <v>32.670573340917308</v>
      </c>
      <c r="E23" s="147">
        <f t="shared" si="1"/>
        <v>29.615089436182725</v>
      </c>
    </row>
    <row r="24" spans="1:5" x14ac:dyDescent="0.25">
      <c r="A24" s="165">
        <v>22</v>
      </c>
      <c r="B24" s="147">
        <f t="shared" si="1"/>
        <v>40.289360437593864</v>
      </c>
      <c r="C24" s="147">
        <f t="shared" si="1"/>
        <v>36.780712084035557</v>
      </c>
      <c r="D24" s="147">
        <f t="shared" si="1"/>
        <v>33.9244384714438</v>
      </c>
      <c r="E24" s="147">
        <f t="shared" si="1"/>
        <v>30.813282343953034</v>
      </c>
    </row>
    <row r="25" spans="1:5" x14ac:dyDescent="0.25">
      <c r="A25" s="165">
        <v>23</v>
      </c>
      <c r="B25" s="147">
        <f t="shared" si="1"/>
        <v>41.638398118858476</v>
      </c>
      <c r="C25" s="147">
        <f t="shared" si="1"/>
        <v>38.075627250355801</v>
      </c>
      <c r="D25" s="147">
        <f t="shared" si="1"/>
        <v>35.172461626908053</v>
      </c>
      <c r="E25" s="147">
        <f t="shared" si="1"/>
        <v>32.006899681704304</v>
      </c>
    </row>
    <row r="26" spans="1:5" x14ac:dyDescent="0.25">
      <c r="A26" s="165">
        <v>24</v>
      </c>
      <c r="B26" s="147">
        <f t="shared" si="1"/>
        <v>42.979820139351638</v>
      </c>
      <c r="C26" s="147">
        <f t="shared" si="1"/>
        <v>39.364077026603915</v>
      </c>
      <c r="D26" s="147">
        <f t="shared" si="1"/>
        <v>36.415028501807313</v>
      </c>
      <c r="E26" s="147">
        <f t="shared" si="1"/>
        <v>33.196244288628179</v>
      </c>
    </row>
    <row r="27" spans="1:5" x14ac:dyDescent="0.25">
      <c r="A27" s="165">
        <v>25</v>
      </c>
      <c r="B27" s="147">
        <f t="shared" si="1"/>
        <v>44.314104896219156</v>
      </c>
      <c r="C27" s="147">
        <f t="shared" si="1"/>
        <v>40.646469120275199</v>
      </c>
      <c r="D27" s="147">
        <f t="shared" si="1"/>
        <v>37.65248413348278</v>
      </c>
      <c r="E27" s="147">
        <f t="shared" si="1"/>
        <v>34.381587017552953</v>
      </c>
    </row>
    <row r="28" spans="1:5" x14ac:dyDescent="0.25">
      <c r="A28" s="165">
        <v>26</v>
      </c>
      <c r="B28" s="147">
        <f t="shared" si="1"/>
        <v>45.641682666283153</v>
      </c>
      <c r="C28" s="147">
        <f t="shared" si="1"/>
        <v>41.923170096353914</v>
      </c>
      <c r="D28" s="147">
        <f t="shared" si="1"/>
        <v>38.885138659830041</v>
      </c>
      <c r="E28" s="147">
        <f t="shared" si="1"/>
        <v>35.563171271923459</v>
      </c>
    </row>
    <row r="29" spans="1:5" x14ac:dyDescent="0.25">
      <c r="A29" s="165">
        <v>27</v>
      </c>
      <c r="B29" s="147">
        <f t="shared" si="1"/>
        <v>46.962942124751443</v>
      </c>
      <c r="C29" s="147">
        <f t="shared" si="1"/>
        <v>43.194510966156031</v>
      </c>
      <c r="D29" s="147">
        <f t="shared" si="1"/>
        <v>40.113272069413625</v>
      </c>
      <c r="E29" s="147">
        <f t="shared" si="1"/>
        <v>36.741216747797637</v>
      </c>
    </row>
    <row r="30" spans="1:5" x14ac:dyDescent="0.25">
      <c r="A30" s="165">
        <v>28</v>
      </c>
      <c r="B30" s="147">
        <f t="shared" si="1"/>
        <v>48.27823577031549</v>
      </c>
      <c r="C30" s="147">
        <f t="shared" si="1"/>
        <v>44.460791836317753</v>
      </c>
      <c r="D30" s="147">
        <f t="shared" si="1"/>
        <v>41.337138151427396</v>
      </c>
      <c r="E30" s="147">
        <f t="shared" si="1"/>
        <v>37.915922544697068</v>
      </c>
    </row>
    <row r="31" spans="1:5" x14ac:dyDescent="0.25">
      <c r="A31" s="165">
        <v>29</v>
      </c>
      <c r="B31" s="147">
        <f t="shared" si="1"/>
        <v>49.587884472898835</v>
      </c>
      <c r="C31" s="147">
        <f t="shared" si="1"/>
        <v>45.722285804174533</v>
      </c>
      <c r="D31" s="147">
        <f t="shared" si="1"/>
        <v>42.556967804292682</v>
      </c>
      <c r="E31" s="147">
        <f t="shared" si="1"/>
        <v>39.087469770693957</v>
      </c>
    </row>
    <row r="32" spans="1:5" x14ac:dyDescent="0.25">
      <c r="A32" s="165">
        <v>30</v>
      </c>
      <c r="B32" s="147">
        <f t="shared" si="1"/>
        <v>50.892181311517092</v>
      </c>
      <c r="C32" s="147">
        <f t="shared" si="1"/>
        <v>46.979242243671159</v>
      </c>
      <c r="D32" s="147">
        <f t="shared" si="1"/>
        <v>43.772971825742189</v>
      </c>
      <c r="E32" s="147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53" t="s">
        <v>119</v>
      </c>
      <c r="D1" s="53" t="s">
        <v>120</v>
      </c>
      <c r="F1" s="10" t="s">
        <v>52</v>
      </c>
      <c r="G1" s="10" t="s">
        <v>45</v>
      </c>
      <c r="I1" s="24" t="s">
        <v>45</v>
      </c>
      <c r="K1" s="27" t="s">
        <v>45</v>
      </c>
      <c r="L1" s="27"/>
    </row>
    <row r="2" spans="1:12" x14ac:dyDescent="0.25">
      <c r="A2" s="12">
        <v>1</v>
      </c>
      <c r="B2" s="13">
        <v>189</v>
      </c>
      <c r="C2" s="64">
        <f>(B2-$G$3)^3</f>
        <v>-5.5452330000000964</v>
      </c>
      <c r="D2" s="64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 s="25"/>
      <c r="L2" s="25"/>
    </row>
    <row r="3" spans="1:12" x14ac:dyDescent="0.25">
      <c r="A3" s="12">
        <v>2</v>
      </c>
      <c r="B3" s="13">
        <v>195</v>
      </c>
      <c r="C3" s="64">
        <f t="shared" ref="C3:C66" si="0">(B3-$G$3)^3</f>
        <v>75.686966999999441</v>
      </c>
      <c r="D3" s="64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s="25" t="s">
        <v>29</v>
      </c>
      <c r="L3" s="25">
        <v>190.77</v>
      </c>
    </row>
    <row r="4" spans="1:12" x14ac:dyDescent="0.25">
      <c r="A4" s="12">
        <v>3</v>
      </c>
      <c r="B4" s="13">
        <v>199</v>
      </c>
      <c r="C4" s="64">
        <f t="shared" si="0"/>
        <v>557.44176699999787</v>
      </c>
      <c r="D4" s="64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s="25" t="s">
        <v>62</v>
      </c>
      <c r="L4" s="25">
        <v>1.5621052228555949</v>
      </c>
    </row>
    <row r="5" spans="1:12" x14ac:dyDescent="0.25">
      <c r="A5" s="12">
        <v>4</v>
      </c>
      <c r="B5" s="13">
        <v>189</v>
      </c>
      <c r="C5" s="64">
        <f t="shared" si="0"/>
        <v>-5.5452330000000964</v>
      </c>
      <c r="D5" s="64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s="25" t="s">
        <v>46</v>
      </c>
      <c r="L5" s="25">
        <v>189</v>
      </c>
    </row>
    <row r="6" spans="1:12" x14ac:dyDescent="0.25">
      <c r="A6" s="12">
        <v>5</v>
      </c>
      <c r="B6" s="13">
        <v>197</v>
      </c>
      <c r="C6" s="64">
        <f t="shared" si="0"/>
        <v>241.80436699999879</v>
      </c>
      <c r="D6" s="64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s="25" t="s">
        <v>63</v>
      </c>
      <c r="L6" s="25">
        <v>199</v>
      </c>
    </row>
    <row r="7" spans="1:12" x14ac:dyDescent="0.25">
      <c r="A7" s="12">
        <v>6</v>
      </c>
      <c r="B7" s="13">
        <v>189</v>
      </c>
      <c r="C7" s="64">
        <f t="shared" si="0"/>
        <v>-5.5452330000000964</v>
      </c>
      <c r="D7" s="64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s="25" t="s">
        <v>64</v>
      </c>
      <c r="L7" s="25">
        <v>15.62105222855595</v>
      </c>
    </row>
    <row r="8" spans="1:12" x14ac:dyDescent="0.25">
      <c r="A8" s="12">
        <v>7</v>
      </c>
      <c r="B8" s="13">
        <v>199</v>
      </c>
      <c r="C8" s="64">
        <f t="shared" si="0"/>
        <v>557.44176699999787</v>
      </c>
      <c r="D8" s="64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s="25" t="s">
        <v>65</v>
      </c>
      <c r="L8" s="25">
        <v>244.01727272727283</v>
      </c>
    </row>
    <row r="9" spans="1:12" x14ac:dyDescent="0.25">
      <c r="A9" s="12">
        <v>8</v>
      </c>
      <c r="B9" s="13">
        <v>202</v>
      </c>
      <c r="C9" s="64">
        <f t="shared" si="0"/>
        <v>1416.2478669999962</v>
      </c>
      <c r="D9" s="64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s="25" t="s">
        <v>66</v>
      </c>
      <c r="L9" s="25">
        <v>0.66945316043880654</v>
      </c>
    </row>
    <row r="10" spans="1:12" x14ac:dyDescent="0.25">
      <c r="A10" s="12">
        <v>9</v>
      </c>
      <c r="B10" s="13">
        <v>199</v>
      </c>
      <c r="C10" s="64">
        <f t="shared" si="0"/>
        <v>557.44176699999787</v>
      </c>
      <c r="D10" s="64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s="25" t="s">
        <v>67</v>
      </c>
      <c r="L10" s="25">
        <v>8.9905641126457075E-2</v>
      </c>
    </row>
    <row r="11" spans="1:12" x14ac:dyDescent="0.25">
      <c r="A11" s="12">
        <v>10</v>
      </c>
      <c r="B11" s="13">
        <v>209</v>
      </c>
      <c r="C11" s="64">
        <f t="shared" si="0"/>
        <v>6058.4287669999903</v>
      </c>
      <c r="D11" s="64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s="25" t="s">
        <v>68</v>
      </c>
      <c r="L11" s="25">
        <v>90</v>
      </c>
    </row>
    <row r="12" spans="1:12" x14ac:dyDescent="0.25">
      <c r="A12" s="12">
        <v>11</v>
      </c>
      <c r="B12" s="13">
        <v>189</v>
      </c>
      <c r="C12" s="64">
        <f t="shared" si="0"/>
        <v>-5.5452330000000964</v>
      </c>
      <c r="D12" s="64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s="25" t="s">
        <v>69</v>
      </c>
      <c r="L12" s="25">
        <v>149</v>
      </c>
    </row>
    <row r="13" spans="1:12" x14ac:dyDescent="0.25">
      <c r="A13" s="12">
        <v>12</v>
      </c>
      <c r="B13" s="13">
        <v>179</v>
      </c>
      <c r="C13" s="64">
        <f t="shared" si="0"/>
        <v>-1630.5322330000042</v>
      </c>
      <c r="D13" s="64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s="25" t="s">
        <v>70</v>
      </c>
      <c r="L13" s="25">
        <v>239</v>
      </c>
    </row>
    <row r="14" spans="1:12" x14ac:dyDescent="0.25">
      <c r="A14" s="12">
        <v>13</v>
      </c>
      <c r="B14" s="13">
        <v>175</v>
      </c>
      <c r="C14" s="64">
        <f t="shared" si="0"/>
        <v>-3921.8870330000077</v>
      </c>
      <c r="D14" s="64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s="25" t="s">
        <v>71</v>
      </c>
      <c r="L14" s="25">
        <v>19077</v>
      </c>
    </row>
    <row r="15" spans="1:12" ht="15.75" thickBot="1" x14ac:dyDescent="0.3">
      <c r="A15" s="12">
        <v>14</v>
      </c>
      <c r="B15" s="13">
        <v>199</v>
      </c>
      <c r="C15" s="64">
        <f t="shared" si="0"/>
        <v>557.44176699999787</v>
      </c>
      <c r="D15" s="64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6" t="s">
        <v>72</v>
      </c>
      <c r="L15" s="26">
        <v>100</v>
      </c>
    </row>
    <row r="16" spans="1:12" x14ac:dyDescent="0.25">
      <c r="A16" s="12">
        <v>15</v>
      </c>
      <c r="B16" s="13">
        <v>205</v>
      </c>
      <c r="C16" s="64">
        <f t="shared" si="0"/>
        <v>2881.473966999994</v>
      </c>
      <c r="D16" s="64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64">
        <f t="shared" si="0"/>
        <v>22497.415766999977</v>
      </c>
      <c r="D17" s="64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64">
        <f t="shared" si="0"/>
        <v>55874.402766999956</v>
      </c>
      <c r="D18" s="64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64">
        <f t="shared" si="0"/>
        <v>2881.473966999994</v>
      </c>
      <c r="D19" s="64">
        <f t="shared" si="1"/>
        <v>41003.374550409884</v>
      </c>
      <c r="F19" s="38" t="s">
        <v>118</v>
      </c>
      <c r="G19" s="37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64">
        <f t="shared" si="0"/>
        <v>-0.45653300000001817</v>
      </c>
      <c r="D20" s="64">
        <f t="shared" si="1"/>
        <v>0.35153041000001867</v>
      </c>
      <c r="F20" s="38" t="s">
        <v>117</v>
      </c>
      <c r="G20" s="37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64">
        <f t="shared" si="0"/>
        <v>-1630.5322330000042</v>
      </c>
      <c r="D21" s="64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64">
        <f t="shared" si="0"/>
        <v>557.44176699999787</v>
      </c>
      <c r="D22" s="64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64">
        <f t="shared" si="0"/>
        <v>-5.5452330000000964</v>
      </c>
      <c r="D23" s="64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64">
        <f t="shared" si="0"/>
        <v>-469.09743300000184</v>
      </c>
      <c r="D24" s="64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64">
        <f t="shared" si="0"/>
        <v>557.44176699999787</v>
      </c>
      <c r="D25" s="64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64">
        <f t="shared" si="0"/>
        <v>3532.6426669999928</v>
      </c>
      <c r="D26" s="64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64">
        <f t="shared" si="0"/>
        <v>14225.260966999982</v>
      </c>
      <c r="D27" s="64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64">
        <f t="shared" si="0"/>
        <v>-72877.493233000059</v>
      </c>
      <c r="D28" s="64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64">
        <f t="shared" si="0"/>
        <v>-5.5452330000000964</v>
      </c>
      <c r="D29" s="64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64">
        <f t="shared" si="0"/>
        <v>-10317.519233000015</v>
      </c>
      <c r="D30" s="64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64">
        <f t="shared" si="0"/>
        <v>-1630.5322330000042</v>
      </c>
      <c r="D31" s="64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64">
        <f t="shared" si="0"/>
        <v>-32066.506233000033</v>
      </c>
      <c r="D32" s="64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64">
        <f t="shared" si="0"/>
        <v>557.44176699999787</v>
      </c>
      <c r="D33" s="64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64">
        <f t="shared" si="0"/>
        <v>75.686966999999441</v>
      </c>
      <c r="D34" s="64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64">
        <f t="shared" si="0"/>
        <v>-5.5452330000000964</v>
      </c>
      <c r="D35" s="64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64">
        <f t="shared" si="0"/>
        <v>6058.4287669999903</v>
      </c>
      <c r="D36" s="64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64">
        <f t="shared" si="0"/>
        <v>143.05566699999915</v>
      </c>
      <c r="D37" s="64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64">
        <f t="shared" si="0"/>
        <v>-5.5452330000000964</v>
      </c>
      <c r="D38" s="64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64">
        <f t="shared" si="0"/>
        <v>-17113.674033000021</v>
      </c>
      <c r="D39" s="64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64">
        <f t="shared" si="0"/>
        <v>-8960.0305330000137</v>
      </c>
      <c r="D40" s="64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64">
        <f t="shared" si="0"/>
        <v>-1630.5322330000042</v>
      </c>
      <c r="D41" s="64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64">
        <f t="shared" si="0"/>
        <v>-8960.0305330000137</v>
      </c>
      <c r="D42" s="64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64">
        <f t="shared" si="0"/>
        <v>-3921.8870330000077</v>
      </c>
      <c r="D43" s="64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64">
        <f t="shared" si="0"/>
        <v>-10317.519233000015</v>
      </c>
      <c r="D44" s="64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64">
        <f t="shared" si="0"/>
        <v>-5.5452330000000964</v>
      </c>
      <c r="D45" s="64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64">
        <f t="shared" si="0"/>
        <v>75.686966999999441</v>
      </c>
      <c r="D46" s="64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64">
        <f t="shared" si="0"/>
        <v>557.44176699999787</v>
      </c>
      <c r="D47" s="64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64">
        <f t="shared" si="0"/>
        <v>557.44176699999787</v>
      </c>
      <c r="D48" s="64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64">
        <f t="shared" si="0"/>
        <v>557.44176699999787</v>
      </c>
      <c r="D49" s="64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64">
        <f t="shared" si="0"/>
        <v>-5.5452330000000964</v>
      </c>
      <c r="D50" s="64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64">
        <f t="shared" si="0"/>
        <v>-674.52613300000235</v>
      </c>
      <c r="D51" s="64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64">
        <f t="shared" si="0"/>
        <v>557.44176699999787</v>
      </c>
      <c r="D52" s="64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64">
        <f t="shared" si="0"/>
        <v>6058.4287669999903</v>
      </c>
      <c r="D53" s="64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64">
        <f t="shared" si="0"/>
        <v>55874.402766999956</v>
      </c>
      <c r="D54" s="64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64">
        <f t="shared" si="0"/>
        <v>557.44176699999787</v>
      </c>
      <c r="D55" s="64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64">
        <f t="shared" si="0"/>
        <v>75.686966999999441</v>
      </c>
      <c r="D56" s="64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64">
        <f t="shared" si="0"/>
        <v>557.44176699999787</v>
      </c>
      <c r="D57" s="64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64">
        <f t="shared" si="0"/>
        <v>-1630.5322330000042</v>
      </c>
      <c r="D58" s="64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64">
        <f t="shared" si="0"/>
        <v>-10317.519233000015</v>
      </c>
      <c r="D59" s="64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64">
        <f t="shared" si="0"/>
        <v>-5.5452330000000964</v>
      </c>
      <c r="D60" s="64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64">
        <f t="shared" si="0"/>
        <v>2881.473966999994</v>
      </c>
      <c r="D61" s="64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64">
        <f t="shared" si="0"/>
        <v>557.44176699999787</v>
      </c>
      <c r="D62" s="64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64">
        <f t="shared" si="0"/>
        <v>-5.5452330000000964</v>
      </c>
      <c r="D63" s="64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64">
        <f t="shared" si="0"/>
        <v>-5.5452330000000964</v>
      </c>
      <c r="D64" s="64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64">
        <f t="shared" si="0"/>
        <v>557.44176699999787</v>
      </c>
      <c r="D65" s="64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64">
        <f t="shared" si="0"/>
        <v>-1630.5322330000042</v>
      </c>
      <c r="D66" s="64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64">
        <f t="shared" ref="C67:C101" si="2">(B67-$G$3)^3</f>
        <v>-5.5452330000000964</v>
      </c>
      <c r="D67" s="64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64">
        <f t="shared" si="2"/>
        <v>112189.38976699994</v>
      </c>
      <c r="D68" s="64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64">
        <f t="shared" si="2"/>
        <v>14225.260966999982</v>
      </c>
      <c r="D69" s="64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64">
        <f t="shared" si="2"/>
        <v>557.44176699999787</v>
      </c>
      <c r="D70" s="64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64">
        <f t="shared" si="2"/>
        <v>-1630.5322330000042</v>
      </c>
      <c r="D71" s="64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64">
        <f t="shared" si="2"/>
        <v>75.686966999999441</v>
      </c>
      <c r="D72" s="64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64">
        <f t="shared" si="2"/>
        <v>557.44176699999787</v>
      </c>
      <c r="D73" s="64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64">
        <f t="shared" si="2"/>
        <v>6058.4287669999903</v>
      </c>
      <c r="D74" s="64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64">
        <f t="shared" si="2"/>
        <v>2881.473966999994</v>
      </c>
      <c r="D75" s="64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64">
        <f t="shared" si="2"/>
        <v>-1630.5322330000042</v>
      </c>
      <c r="D76" s="64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64">
        <f t="shared" si="2"/>
        <v>-192.10003300000102</v>
      </c>
      <c r="D77" s="64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64">
        <f t="shared" si="2"/>
        <v>-1630.5322330000042</v>
      </c>
      <c r="D78" s="64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64">
        <f t="shared" si="2"/>
        <v>-10317.519233000015</v>
      </c>
      <c r="D79" s="64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64">
        <f t="shared" si="2"/>
        <v>-1630.5322330000042</v>
      </c>
      <c r="D80" s="64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64">
        <f t="shared" si="2"/>
        <v>-5.5452330000000964</v>
      </c>
      <c r="D81" s="64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64">
        <f t="shared" si="2"/>
        <v>557.44176699999787</v>
      </c>
      <c r="D82" s="64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64">
        <f t="shared" si="2"/>
        <v>6058.4287669999903</v>
      </c>
      <c r="D83" s="64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64">
        <f t="shared" si="2"/>
        <v>-10317.519233000015</v>
      </c>
      <c r="D84" s="64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64">
        <f t="shared" si="2"/>
        <v>-32066.506233000033</v>
      </c>
      <c r="D85" s="64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64">
        <f t="shared" si="2"/>
        <v>-1630.5322330000042</v>
      </c>
      <c r="D86" s="64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64">
        <f t="shared" si="2"/>
        <v>-192.10003300000102</v>
      </c>
      <c r="D87" s="64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64">
        <f t="shared" si="2"/>
        <v>-5.5452330000000964</v>
      </c>
      <c r="D88" s="64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64">
        <f t="shared" si="2"/>
        <v>-1630.5322330000042</v>
      </c>
      <c r="D89" s="64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64">
        <f t="shared" si="2"/>
        <v>557.44176699999787</v>
      </c>
      <c r="D90" s="64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64">
        <f t="shared" si="2"/>
        <v>557.44176699999787</v>
      </c>
      <c r="D91" s="64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64">
        <f t="shared" si="2"/>
        <v>-5.5452330000000964</v>
      </c>
      <c r="D92" s="64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64">
        <f t="shared" si="2"/>
        <v>-10317.519233000015</v>
      </c>
      <c r="D93" s="64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64">
        <f t="shared" si="2"/>
        <v>-32066.506233000033</v>
      </c>
      <c r="D94" s="64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64">
        <f t="shared" si="2"/>
        <v>-10317.519233000015</v>
      </c>
      <c r="D95" s="64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64">
        <f t="shared" si="2"/>
        <v>6058.4287669999903</v>
      </c>
      <c r="D96" s="64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64">
        <f t="shared" si="2"/>
        <v>-5.5452330000000964</v>
      </c>
      <c r="D97" s="64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64">
        <f t="shared" si="2"/>
        <v>-1630.5322330000042</v>
      </c>
      <c r="D98" s="64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64">
        <f t="shared" si="2"/>
        <v>-5.5452330000000964</v>
      </c>
      <c r="D99" s="64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64">
        <f t="shared" si="2"/>
        <v>557.44176699999787</v>
      </c>
      <c r="D100" s="64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64">
        <f t="shared" si="2"/>
        <v>75.686966999999441</v>
      </c>
      <c r="D101" s="64">
        <f t="shared" si="3"/>
        <v>320.15587040999685</v>
      </c>
      <c r="I101" s="13">
        <v>239</v>
      </c>
    </row>
    <row r="102" spans="1:9" x14ac:dyDescent="0.25">
      <c r="C102" s="65">
        <f>+SUM(C2:C101)/100</f>
        <v>332.49036599999266</v>
      </c>
      <c r="D102" s="65">
        <f>+SUM(D2:D101)/100</f>
        <v>208754.24176676999</v>
      </c>
    </row>
    <row r="103" spans="1:9" x14ac:dyDescent="0.25">
      <c r="C103" s="65"/>
      <c r="D103" s="65"/>
    </row>
    <row r="104" spans="1:9" x14ac:dyDescent="0.25">
      <c r="C104" s="63">
        <f>(100^2*C102)/(99*98*(G16^3))</f>
        <v>8.9905641126456867E-2</v>
      </c>
      <c r="D104" s="63">
        <f>((100^2*101*D102)/(99*98*97*(G16^4)))-3*((99^2)/(98*97))</f>
        <v>0.66945316043880787</v>
      </c>
    </row>
  </sheetData>
  <sortState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60" t="s">
        <v>136</v>
      </c>
      <c r="B1" s="224">
        <v>0.01</v>
      </c>
      <c r="C1" s="226">
        <v>2.5000000000000001E-2</v>
      </c>
      <c r="D1" s="224">
        <v>0.05</v>
      </c>
      <c r="E1" s="224">
        <v>0.1</v>
      </c>
      <c r="G1" s="215" t="s">
        <v>243</v>
      </c>
      <c r="H1" s="216"/>
      <c r="I1" s="216"/>
      <c r="J1" s="217"/>
    </row>
    <row r="2" spans="1:10" x14ac:dyDescent="0.25">
      <c r="A2" s="160" t="s">
        <v>242</v>
      </c>
      <c r="B2" s="225"/>
      <c r="C2" s="227"/>
      <c r="D2" s="225"/>
      <c r="E2" s="225"/>
      <c r="G2" s="218"/>
      <c r="H2" s="219"/>
      <c r="I2" s="219"/>
      <c r="J2" s="220"/>
    </row>
    <row r="3" spans="1:10" x14ac:dyDescent="0.25">
      <c r="A3" s="165">
        <v>1</v>
      </c>
      <c r="B3" s="147">
        <f>-_xlfn.T.INV(B$1,$A3)</f>
        <v>31.820515953773956</v>
      </c>
      <c r="C3" s="147">
        <f t="shared" ref="C3:E32" si="0">-_xlfn.T.INV(C$1,$A3)</f>
        <v>12.706204736174707</v>
      </c>
      <c r="D3" s="147">
        <f t="shared" si="0"/>
        <v>6.3137515146750438</v>
      </c>
      <c r="E3" s="147">
        <f t="shared" si="0"/>
        <v>3.077683537175254</v>
      </c>
      <c r="G3" s="218"/>
      <c r="H3" s="219"/>
      <c r="I3" s="219"/>
      <c r="J3" s="220"/>
    </row>
    <row r="4" spans="1:10" x14ac:dyDescent="0.25">
      <c r="A4" s="165">
        <v>2</v>
      </c>
      <c r="B4" s="147">
        <f t="shared" ref="B4:B32" si="1">-_xlfn.T.INV(B$1,$A4)</f>
        <v>6.9645567342832733</v>
      </c>
      <c r="C4" s="147">
        <f t="shared" si="0"/>
        <v>4.3026527297494637</v>
      </c>
      <c r="D4" s="147">
        <f t="shared" si="0"/>
        <v>2.9199855803537269</v>
      </c>
      <c r="E4" s="147">
        <f t="shared" si="0"/>
        <v>1.8856180831641267</v>
      </c>
      <c r="G4" s="218"/>
      <c r="H4" s="219"/>
      <c r="I4" s="219"/>
      <c r="J4" s="220"/>
    </row>
    <row r="5" spans="1:10" x14ac:dyDescent="0.25">
      <c r="A5" s="165">
        <v>3</v>
      </c>
      <c r="B5" s="147">
        <f t="shared" si="1"/>
        <v>4.5407028585681335</v>
      </c>
      <c r="C5" s="147">
        <f t="shared" si="0"/>
        <v>3.1824463052837091</v>
      </c>
      <c r="D5" s="147">
        <f t="shared" si="0"/>
        <v>2.3533634348018233</v>
      </c>
      <c r="E5" s="147">
        <f t="shared" si="0"/>
        <v>1.63774435369621</v>
      </c>
      <c r="G5" s="221"/>
      <c r="H5" s="222"/>
      <c r="I5" s="222"/>
      <c r="J5" s="223"/>
    </row>
    <row r="6" spans="1:10" x14ac:dyDescent="0.25">
      <c r="A6" s="165">
        <v>4</v>
      </c>
      <c r="B6" s="147">
        <f t="shared" si="1"/>
        <v>3.7469473879791968</v>
      </c>
      <c r="C6" s="147">
        <f t="shared" si="0"/>
        <v>2.7764451051977934</v>
      </c>
      <c r="D6" s="147">
        <f t="shared" si="0"/>
        <v>2.1318467863266499</v>
      </c>
      <c r="E6" s="147">
        <f t="shared" si="0"/>
        <v>1.5332062740589443</v>
      </c>
    </row>
    <row r="7" spans="1:10" x14ac:dyDescent="0.25">
      <c r="A7" s="165">
        <v>5</v>
      </c>
      <c r="B7" s="147">
        <f t="shared" si="1"/>
        <v>3.3649299989072183</v>
      </c>
      <c r="C7" s="147">
        <f t="shared" si="0"/>
        <v>2.570581835636315</v>
      </c>
      <c r="D7" s="147">
        <f t="shared" si="0"/>
        <v>2.0150483733330233</v>
      </c>
      <c r="E7" s="147">
        <f t="shared" si="0"/>
        <v>1.4758840488244813</v>
      </c>
    </row>
    <row r="8" spans="1:10" x14ac:dyDescent="0.25">
      <c r="A8" s="165">
        <v>6</v>
      </c>
      <c r="B8" s="147">
        <f t="shared" si="1"/>
        <v>3.1426684032909828</v>
      </c>
      <c r="C8" s="147">
        <f t="shared" si="0"/>
        <v>2.4469118511449697</v>
      </c>
      <c r="D8" s="147">
        <f t="shared" si="0"/>
        <v>1.9431802805153031</v>
      </c>
      <c r="E8" s="147">
        <f t="shared" si="0"/>
        <v>1.4397557472651481</v>
      </c>
    </row>
    <row r="9" spans="1:10" x14ac:dyDescent="0.25">
      <c r="A9" s="165">
        <v>7</v>
      </c>
      <c r="B9" s="147">
        <f t="shared" si="1"/>
        <v>2.997951566868529</v>
      </c>
      <c r="C9" s="147">
        <f t="shared" si="0"/>
        <v>2.3646242515927849</v>
      </c>
      <c r="D9" s="147">
        <f t="shared" si="0"/>
        <v>1.8945786050900073</v>
      </c>
      <c r="E9" s="147">
        <f t="shared" si="0"/>
        <v>1.4149239276505079</v>
      </c>
    </row>
    <row r="10" spans="1:10" x14ac:dyDescent="0.25">
      <c r="A10" s="165">
        <v>8</v>
      </c>
      <c r="B10" s="147">
        <f t="shared" si="1"/>
        <v>2.8964594477096224</v>
      </c>
      <c r="C10" s="147">
        <f t="shared" si="0"/>
        <v>2.3060041352041671</v>
      </c>
      <c r="D10" s="147">
        <f t="shared" si="0"/>
        <v>1.8595480375308981</v>
      </c>
      <c r="E10" s="147">
        <f t="shared" si="0"/>
        <v>1.3968153097438645</v>
      </c>
    </row>
    <row r="11" spans="1:10" x14ac:dyDescent="0.25">
      <c r="A11" s="165">
        <v>9</v>
      </c>
      <c r="B11" s="147">
        <f t="shared" si="1"/>
        <v>2.8214379250258084</v>
      </c>
      <c r="C11" s="147">
        <f t="shared" si="0"/>
        <v>2.2621571627982053</v>
      </c>
      <c r="D11" s="147">
        <f t="shared" si="0"/>
        <v>1.8331129326562374</v>
      </c>
      <c r="E11" s="147">
        <f t="shared" si="0"/>
        <v>1.383028738396632</v>
      </c>
    </row>
    <row r="12" spans="1:10" x14ac:dyDescent="0.25">
      <c r="A12" s="165">
        <v>10</v>
      </c>
      <c r="B12" s="147">
        <f t="shared" si="1"/>
        <v>2.7637694581126966</v>
      </c>
      <c r="C12" s="147">
        <f t="shared" si="0"/>
        <v>2.2281388519862744</v>
      </c>
      <c r="D12" s="147">
        <f t="shared" si="0"/>
        <v>1.812461122811676</v>
      </c>
      <c r="E12" s="147">
        <f t="shared" si="0"/>
        <v>1.3721836411103363</v>
      </c>
    </row>
    <row r="13" spans="1:10" x14ac:dyDescent="0.25">
      <c r="A13" s="165">
        <v>11</v>
      </c>
      <c r="B13" s="147">
        <f t="shared" si="1"/>
        <v>2.7180791838138614</v>
      </c>
      <c r="C13" s="147">
        <f t="shared" si="0"/>
        <v>2.2009851600916384</v>
      </c>
      <c r="D13" s="147">
        <f t="shared" si="0"/>
        <v>1.7958848187040437</v>
      </c>
      <c r="E13" s="147">
        <f t="shared" si="0"/>
        <v>1.3634303180205409</v>
      </c>
    </row>
    <row r="14" spans="1:10" x14ac:dyDescent="0.25">
      <c r="A14" s="165">
        <v>12</v>
      </c>
      <c r="B14" s="147">
        <f t="shared" si="1"/>
        <v>2.6809979931209149</v>
      </c>
      <c r="C14" s="147">
        <f t="shared" si="0"/>
        <v>2.1788128296672284</v>
      </c>
      <c r="D14" s="147">
        <f t="shared" si="0"/>
        <v>1.7822875556493194</v>
      </c>
      <c r="E14" s="147">
        <f t="shared" si="0"/>
        <v>1.3562173340232047</v>
      </c>
    </row>
    <row r="15" spans="1:10" x14ac:dyDescent="0.25">
      <c r="A15" s="165">
        <v>13</v>
      </c>
      <c r="B15" s="147">
        <f t="shared" si="1"/>
        <v>2.650308837912192</v>
      </c>
      <c r="C15" s="147">
        <f t="shared" si="0"/>
        <v>2.1603686564627926</v>
      </c>
      <c r="D15" s="147">
        <f t="shared" si="0"/>
        <v>1.7709333959868729</v>
      </c>
      <c r="E15" s="147">
        <f t="shared" si="0"/>
        <v>1.3501712887800554</v>
      </c>
    </row>
    <row r="16" spans="1:10" x14ac:dyDescent="0.25">
      <c r="A16" s="165">
        <v>14</v>
      </c>
      <c r="B16" s="147">
        <f t="shared" si="1"/>
        <v>2.6244940675900517</v>
      </c>
      <c r="C16" s="147">
        <f t="shared" si="0"/>
        <v>2.1447866879178044</v>
      </c>
      <c r="D16" s="147">
        <f t="shared" si="0"/>
        <v>1.7613101357748921</v>
      </c>
      <c r="E16" s="147">
        <f t="shared" si="0"/>
        <v>1.3450303744546506</v>
      </c>
    </row>
    <row r="17" spans="1:5" x14ac:dyDescent="0.25">
      <c r="A17" s="165">
        <v>15</v>
      </c>
      <c r="B17" s="147">
        <f t="shared" si="1"/>
        <v>2.6024802950111221</v>
      </c>
      <c r="C17" s="147">
        <f t="shared" si="0"/>
        <v>2.1314495455597742</v>
      </c>
      <c r="D17" s="147">
        <f t="shared" si="0"/>
        <v>1.7530503556925723</v>
      </c>
      <c r="E17" s="147">
        <f t="shared" si="0"/>
        <v>1.3406056078504547</v>
      </c>
    </row>
    <row r="18" spans="1:5" x14ac:dyDescent="0.25">
      <c r="A18" s="165">
        <v>16</v>
      </c>
      <c r="B18" s="147">
        <f t="shared" si="1"/>
        <v>2.5834871852759917</v>
      </c>
      <c r="C18" s="147">
        <f t="shared" si="0"/>
        <v>2.119905299221255</v>
      </c>
      <c r="D18" s="147">
        <f t="shared" si="0"/>
        <v>1.7458836762762506</v>
      </c>
      <c r="E18" s="147">
        <f t="shared" si="0"/>
        <v>1.3367571673273144</v>
      </c>
    </row>
    <row r="19" spans="1:5" x14ac:dyDescent="0.25">
      <c r="A19" s="165">
        <v>17</v>
      </c>
      <c r="B19" s="147">
        <f t="shared" si="1"/>
        <v>2.5669339837247178</v>
      </c>
      <c r="C19" s="147">
        <f t="shared" si="0"/>
        <v>2.109815577833317</v>
      </c>
      <c r="D19" s="147">
        <f t="shared" si="0"/>
        <v>1.7396067260750732</v>
      </c>
      <c r="E19" s="147">
        <f t="shared" si="0"/>
        <v>1.3333793897216262</v>
      </c>
    </row>
    <row r="20" spans="1:5" x14ac:dyDescent="0.25">
      <c r="A20" s="165">
        <v>18</v>
      </c>
      <c r="B20" s="147">
        <f t="shared" si="1"/>
        <v>2.552379630182251</v>
      </c>
      <c r="C20" s="147">
        <f t="shared" si="0"/>
        <v>2.1009220402410378</v>
      </c>
      <c r="D20" s="147">
        <f t="shared" si="0"/>
        <v>1.7340636066175394</v>
      </c>
      <c r="E20" s="147">
        <f t="shared" si="0"/>
        <v>1.3303909435699084</v>
      </c>
    </row>
    <row r="21" spans="1:5" x14ac:dyDescent="0.25">
      <c r="A21" s="165">
        <v>19</v>
      </c>
      <c r="B21" s="147">
        <f t="shared" si="1"/>
        <v>2.5394831906239612</v>
      </c>
      <c r="C21" s="147">
        <f t="shared" si="0"/>
        <v>2.0930240544083096</v>
      </c>
      <c r="D21" s="147">
        <f t="shared" si="0"/>
        <v>1.7291328115213698</v>
      </c>
      <c r="E21" s="147">
        <f t="shared" si="0"/>
        <v>1.3277282090267981</v>
      </c>
    </row>
    <row r="22" spans="1:5" x14ac:dyDescent="0.25">
      <c r="A22" s="165">
        <v>20</v>
      </c>
      <c r="B22" s="147">
        <f t="shared" si="1"/>
        <v>2.5279770027415731</v>
      </c>
      <c r="C22" s="147">
        <f t="shared" si="0"/>
        <v>2.0859634472658648</v>
      </c>
      <c r="D22" s="147">
        <f t="shared" si="0"/>
        <v>1.7247182429207868</v>
      </c>
      <c r="E22" s="147">
        <f t="shared" si="0"/>
        <v>1.3253407069850465</v>
      </c>
    </row>
    <row r="23" spans="1:5" x14ac:dyDescent="0.25">
      <c r="A23" s="165">
        <v>21</v>
      </c>
      <c r="B23" s="147">
        <f t="shared" si="1"/>
        <v>2.5176480160447423</v>
      </c>
      <c r="C23" s="147">
        <f t="shared" si="0"/>
        <v>2.07961384472768</v>
      </c>
      <c r="D23" s="147">
        <f t="shared" si="0"/>
        <v>1.7207429028118781</v>
      </c>
      <c r="E23" s="147">
        <f t="shared" si="0"/>
        <v>1.3231878738651732</v>
      </c>
    </row>
    <row r="24" spans="1:5" x14ac:dyDescent="0.25">
      <c r="A24" s="165">
        <v>22</v>
      </c>
      <c r="B24" s="147">
        <f t="shared" si="1"/>
        <v>2.5083245528990807</v>
      </c>
      <c r="C24" s="147">
        <f t="shared" si="0"/>
        <v>2.0738730679040258</v>
      </c>
      <c r="D24" s="147">
        <f t="shared" si="0"/>
        <v>1.7171443743802424</v>
      </c>
      <c r="E24" s="147">
        <f t="shared" si="0"/>
        <v>1.3212367416133624</v>
      </c>
    </row>
    <row r="25" spans="1:5" x14ac:dyDescent="0.25">
      <c r="A25" s="165">
        <v>23</v>
      </c>
      <c r="B25" s="147">
        <f t="shared" si="1"/>
        <v>2.4998667394946681</v>
      </c>
      <c r="C25" s="147">
        <f t="shared" si="0"/>
        <v>2.0686576104190491</v>
      </c>
      <c r="D25" s="147">
        <f t="shared" si="0"/>
        <v>1.7138715277470482</v>
      </c>
      <c r="E25" s="147">
        <f t="shared" si="0"/>
        <v>1.3194602398161621</v>
      </c>
    </row>
    <row r="26" spans="1:5" x14ac:dyDescent="0.25">
      <c r="A26" s="165">
        <v>24</v>
      </c>
      <c r="B26" s="147">
        <f t="shared" si="1"/>
        <v>2.492159473157757</v>
      </c>
      <c r="C26" s="147">
        <f t="shared" si="0"/>
        <v>2.0638985616280254</v>
      </c>
      <c r="D26" s="147">
        <f t="shared" si="0"/>
        <v>1.7108820799094284</v>
      </c>
      <c r="E26" s="147">
        <f t="shared" si="0"/>
        <v>1.3178359336731498</v>
      </c>
    </row>
    <row r="27" spans="1:5" x14ac:dyDescent="0.25">
      <c r="A27" s="165">
        <v>25</v>
      </c>
      <c r="B27" s="147">
        <f t="shared" si="1"/>
        <v>2.485107175410763</v>
      </c>
      <c r="C27" s="147">
        <f t="shared" si="0"/>
        <v>2.0595385527532977</v>
      </c>
      <c r="D27" s="147">
        <f t="shared" si="0"/>
        <v>1.7081407612518986</v>
      </c>
      <c r="E27" s="147">
        <f t="shared" si="0"/>
        <v>1.3163450726738706</v>
      </c>
    </row>
    <row r="28" spans="1:5" x14ac:dyDescent="0.25">
      <c r="A28" s="165">
        <v>26</v>
      </c>
      <c r="B28" s="147">
        <f t="shared" si="1"/>
        <v>2.4786298235912425</v>
      </c>
      <c r="C28" s="147">
        <f t="shared" si="0"/>
        <v>2.0555294386428731</v>
      </c>
      <c r="D28" s="147">
        <f t="shared" si="0"/>
        <v>1.7056179197592738</v>
      </c>
      <c r="E28" s="147">
        <f t="shared" si="0"/>
        <v>1.3149718642705173</v>
      </c>
    </row>
    <row r="29" spans="1:5" x14ac:dyDescent="0.25">
      <c r="A29" s="165">
        <v>27</v>
      </c>
      <c r="B29" s="147">
        <f t="shared" si="1"/>
        <v>2.4726599119560069</v>
      </c>
      <c r="C29" s="147">
        <f t="shared" si="0"/>
        <v>2.0518305164802859</v>
      </c>
      <c r="D29" s="147">
        <f t="shared" si="0"/>
        <v>1.7032884457221271</v>
      </c>
      <c r="E29" s="147">
        <f t="shared" si="0"/>
        <v>1.3137029128292739</v>
      </c>
    </row>
    <row r="30" spans="1:5" x14ac:dyDescent="0.25">
      <c r="A30" s="165">
        <v>28</v>
      </c>
      <c r="B30" s="147">
        <f t="shared" si="1"/>
        <v>2.467140097967472</v>
      </c>
      <c r="C30" s="147">
        <f t="shared" si="0"/>
        <v>2.0484071417952445</v>
      </c>
      <c r="D30" s="147">
        <f t="shared" si="0"/>
        <v>1.7011309342659326</v>
      </c>
      <c r="E30" s="147">
        <f t="shared" si="0"/>
        <v>1.3125267815926682</v>
      </c>
    </row>
    <row r="31" spans="1:5" x14ac:dyDescent="0.25">
      <c r="A31" s="165">
        <v>29</v>
      </c>
      <c r="B31" s="147">
        <f t="shared" si="1"/>
        <v>2.4620213601504126</v>
      </c>
      <c r="C31" s="147">
        <f t="shared" si="0"/>
        <v>2.0452296421327048</v>
      </c>
      <c r="D31" s="147">
        <f t="shared" si="0"/>
        <v>1.6991270265334986</v>
      </c>
      <c r="E31" s="147">
        <f t="shared" si="0"/>
        <v>1.3114336473015527</v>
      </c>
    </row>
    <row r="32" spans="1:5" x14ac:dyDescent="0.25">
      <c r="A32" s="165">
        <v>30</v>
      </c>
      <c r="B32" s="147">
        <f t="shared" si="1"/>
        <v>2.4572615424005915</v>
      </c>
      <c r="C32" s="147">
        <f t="shared" si="0"/>
        <v>2.0422724563012378</v>
      </c>
      <c r="D32" s="147">
        <f t="shared" si="0"/>
        <v>1.6972608865939587</v>
      </c>
      <c r="E32" s="147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H21" sqref="H21"/>
    </sheetView>
  </sheetViews>
  <sheetFormatPr defaultRowHeight="15" x14ac:dyDescent="0.25"/>
  <cols>
    <col min="1" max="11" width="13.7109375" customWidth="1"/>
  </cols>
  <sheetData>
    <row r="1" spans="1:16" x14ac:dyDescent="0.25">
      <c r="A1" s="228" t="s">
        <v>34</v>
      </c>
      <c r="B1" s="229"/>
      <c r="C1" s="166">
        <v>0.01</v>
      </c>
    </row>
    <row r="2" spans="1:16" ht="15" customHeight="1" x14ac:dyDescent="0.25">
      <c r="A2" s="230" t="s">
        <v>244</v>
      </c>
      <c r="B2" s="232" t="s">
        <v>245</v>
      </c>
      <c r="C2" s="233"/>
      <c r="D2" s="233"/>
      <c r="E2" s="233"/>
      <c r="F2" s="233"/>
      <c r="G2" s="233"/>
      <c r="H2" s="233"/>
      <c r="I2" s="233"/>
      <c r="J2" s="233"/>
      <c r="K2" s="234"/>
      <c r="M2" s="215" t="s">
        <v>246</v>
      </c>
      <c r="N2" s="216"/>
      <c r="O2" s="216"/>
      <c r="P2" s="217"/>
    </row>
    <row r="3" spans="1:16" ht="15" customHeight="1" x14ac:dyDescent="0.25">
      <c r="A3" s="231"/>
      <c r="B3" s="167">
        <v>1</v>
      </c>
      <c r="C3" s="167">
        <v>2</v>
      </c>
      <c r="D3" s="167">
        <v>3</v>
      </c>
      <c r="E3" s="167">
        <v>4</v>
      </c>
      <c r="F3" s="167">
        <v>5</v>
      </c>
      <c r="G3" s="167">
        <v>6</v>
      </c>
      <c r="H3" s="167">
        <v>7</v>
      </c>
      <c r="I3" s="167">
        <v>8</v>
      </c>
      <c r="J3" s="167">
        <v>9</v>
      </c>
      <c r="K3" s="167">
        <v>10</v>
      </c>
      <c r="M3" s="218"/>
      <c r="N3" s="219"/>
      <c r="O3" s="219"/>
      <c r="P3" s="220"/>
    </row>
    <row r="4" spans="1:16" x14ac:dyDescent="0.25">
      <c r="A4" s="165">
        <v>1</v>
      </c>
      <c r="B4" s="70">
        <f>_xlfn.F.INV.RT($C$1,B$3,$A4)</f>
        <v>4052.1806954768263</v>
      </c>
      <c r="C4" s="70">
        <f t="shared" ref="C4:K19" si="0">_xlfn.F.INV.RT($C$1,C$3,$A4)</f>
        <v>4999.4999999999955</v>
      </c>
      <c r="D4" s="70">
        <f t="shared" si="0"/>
        <v>5403.3520137385403</v>
      </c>
      <c r="E4" s="70">
        <f t="shared" si="0"/>
        <v>5624.5833296294431</v>
      </c>
      <c r="F4" s="70">
        <f t="shared" si="0"/>
        <v>5763.6495541557169</v>
      </c>
      <c r="G4" s="70">
        <f t="shared" si="0"/>
        <v>5858.9861066861959</v>
      </c>
      <c r="H4" s="70">
        <f t="shared" si="0"/>
        <v>5928.3557315865291</v>
      </c>
      <c r="I4" s="70">
        <f t="shared" si="0"/>
        <v>5981.0703077977314</v>
      </c>
      <c r="J4" s="70">
        <f t="shared" si="0"/>
        <v>6022.4732449682679</v>
      </c>
      <c r="K4" s="70">
        <f t="shared" si="0"/>
        <v>6055.8467073958309</v>
      </c>
      <c r="M4" s="218"/>
      <c r="N4" s="219"/>
      <c r="O4" s="219"/>
      <c r="P4" s="220"/>
    </row>
    <row r="5" spans="1:16" x14ac:dyDescent="0.25">
      <c r="A5" s="165">
        <v>2</v>
      </c>
      <c r="B5" s="70">
        <f t="shared" ref="B5:K20" si="1">_xlfn.F.INV.RT($C$1,B$3,$A5)</f>
        <v>98.50251256281409</v>
      </c>
      <c r="C5" s="70">
        <f t="shared" si="0"/>
        <v>98.999999999999957</v>
      </c>
      <c r="D5" s="70">
        <f t="shared" si="0"/>
        <v>99.166201374471555</v>
      </c>
      <c r="E5" s="70">
        <f t="shared" si="0"/>
        <v>99.24937185533102</v>
      </c>
      <c r="F5" s="70">
        <f t="shared" si="0"/>
        <v>99.299296477864175</v>
      </c>
      <c r="G5" s="70">
        <f t="shared" si="0"/>
        <v>99.332588865403423</v>
      </c>
      <c r="H5" s="70">
        <f t="shared" si="0"/>
        <v>99.356373700187277</v>
      </c>
      <c r="I5" s="70">
        <f t="shared" si="0"/>
        <v>99.374214818915945</v>
      </c>
      <c r="J5" s="70">
        <f t="shared" si="0"/>
        <v>99.388092721714372</v>
      </c>
      <c r="K5" s="70">
        <f t="shared" si="0"/>
        <v>99.399195974539353</v>
      </c>
      <c r="M5" s="218"/>
      <c r="N5" s="219"/>
      <c r="O5" s="219"/>
      <c r="P5" s="220"/>
    </row>
    <row r="6" spans="1:16" x14ac:dyDescent="0.25">
      <c r="A6" s="165">
        <v>3</v>
      </c>
      <c r="B6" s="70">
        <f t="shared" si="1"/>
        <v>34.116221564529795</v>
      </c>
      <c r="C6" s="70">
        <f t="shared" si="0"/>
        <v>30.816520350478257</v>
      </c>
      <c r="D6" s="70">
        <f t="shared" si="0"/>
        <v>29.456695126754646</v>
      </c>
      <c r="E6" s="70">
        <f t="shared" si="0"/>
        <v>28.7098983872982</v>
      </c>
      <c r="F6" s="70">
        <f t="shared" si="0"/>
        <v>28.237080837755048</v>
      </c>
      <c r="G6" s="70">
        <f t="shared" si="0"/>
        <v>27.910657357696032</v>
      </c>
      <c r="H6" s="70">
        <f t="shared" si="0"/>
        <v>27.671696070326174</v>
      </c>
      <c r="I6" s="70">
        <f t="shared" si="0"/>
        <v>27.489177030536222</v>
      </c>
      <c r="J6" s="70">
        <f t="shared" si="0"/>
        <v>27.345206333571468</v>
      </c>
      <c r="K6" s="70">
        <f t="shared" si="0"/>
        <v>27.228734121474286</v>
      </c>
      <c r="M6" s="221"/>
      <c r="N6" s="222"/>
      <c r="O6" s="222"/>
      <c r="P6" s="223"/>
    </row>
    <row r="7" spans="1:16" x14ac:dyDescent="0.25">
      <c r="A7" s="165">
        <v>4</v>
      </c>
      <c r="B7" s="70">
        <f t="shared" si="1"/>
        <v>21.197689584391309</v>
      </c>
      <c r="C7" s="70">
        <f t="shared" si="0"/>
        <v>17.999999999999993</v>
      </c>
      <c r="D7" s="70">
        <f t="shared" si="0"/>
        <v>16.694369237175085</v>
      </c>
      <c r="E7" s="70">
        <f t="shared" si="0"/>
        <v>15.977024852557676</v>
      </c>
      <c r="F7" s="70">
        <f t="shared" si="0"/>
        <v>15.521857544425243</v>
      </c>
      <c r="G7" s="70">
        <f t="shared" si="0"/>
        <v>15.206864861157531</v>
      </c>
      <c r="H7" s="70">
        <f t="shared" si="0"/>
        <v>14.975757704446696</v>
      </c>
      <c r="I7" s="70">
        <f t="shared" si="0"/>
        <v>14.798888790632594</v>
      </c>
      <c r="J7" s="70">
        <f t="shared" si="0"/>
        <v>14.659133574738862</v>
      </c>
      <c r="K7" s="70">
        <f t="shared" si="0"/>
        <v>14.545900803323377</v>
      </c>
    </row>
    <row r="8" spans="1:16" x14ac:dyDescent="0.25">
      <c r="A8" s="165">
        <v>5</v>
      </c>
      <c r="B8" s="70">
        <f t="shared" si="1"/>
        <v>16.258177039833654</v>
      </c>
      <c r="C8" s="70">
        <f t="shared" si="0"/>
        <v>13.273933612004834</v>
      </c>
      <c r="D8" s="70">
        <f t="shared" si="0"/>
        <v>12.059953691651989</v>
      </c>
      <c r="E8" s="70">
        <f t="shared" si="0"/>
        <v>11.391928071349769</v>
      </c>
      <c r="F8" s="70">
        <f t="shared" si="0"/>
        <v>10.967020650907992</v>
      </c>
      <c r="G8" s="70">
        <f t="shared" si="0"/>
        <v>10.672254792434337</v>
      </c>
      <c r="H8" s="70">
        <f t="shared" si="0"/>
        <v>10.455510891760897</v>
      </c>
      <c r="I8" s="70">
        <f t="shared" si="0"/>
        <v>10.28931104613593</v>
      </c>
      <c r="J8" s="70">
        <f t="shared" si="0"/>
        <v>10.157761547933342</v>
      </c>
      <c r="K8" s="70">
        <f t="shared" si="0"/>
        <v>10.051017219571275</v>
      </c>
    </row>
    <row r="9" spans="1:16" x14ac:dyDescent="0.25">
      <c r="A9" s="165">
        <v>6</v>
      </c>
      <c r="B9" s="70">
        <f t="shared" si="1"/>
        <v>13.745022533304169</v>
      </c>
      <c r="C9" s="70">
        <f t="shared" si="0"/>
        <v>10.924766500838338</v>
      </c>
      <c r="D9" s="70">
        <f t="shared" si="0"/>
        <v>9.779538240923273</v>
      </c>
      <c r="E9" s="70">
        <f t="shared" si="0"/>
        <v>9.1483010302278522</v>
      </c>
      <c r="F9" s="70">
        <f t="shared" si="0"/>
        <v>8.7458952560199172</v>
      </c>
      <c r="G9" s="70">
        <f t="shared" si="0"/>
        <v>8.4661253404768946</v>
      </c>
      <c r="H9" s="70">
        <f t="shared" si="0"/>
        <v>8.2599952709689841</v>
      </c>
      <c r="I9" s="70">
        <f t="shared" si="0"/>
        <v>8.1016513667387038</v>
      </c>
      <c r="J9" s="70">
        <f t="shared" si="0"/>
        <v>7.9761213666233548</v>
      </c>
      <c r="K9" s="70">
        <f t="shared" si="0"/>
        <v>7.874118533565623</v>
      </c>
    </row>
    <row r="10" spans="1:16" x14ac:dyDescent="0.25">
      <c r="A10" s="165">
        <v>7</v>
      </c>
      <c r="B10" s="70">
        <f t="shared" si="1"/>
        <v>12.246383348435085</v>
      </c>
      <c r="C10" s="70">
        <f t="shared" si="0"/>
        <v>9.5465780211022917</v>
      </c>
      <c r="D10" s="70">
        <f t="shared" si="0"/>
        <v>8.4512850530799906</v>
      </c>
      <c r="E10" s="70">
        <f t="shared" si="0"/>
        <v>7.8466450625466022</v>
      </c>
      <c r="F10" s="70">
        <f t="shared" si="0"/>
        <v>7.4604354929892667</v>
      </c>
      <c r="G10" s="70">
        <f t="shared" si="0"/>
        <v>7.1914047852039982</v>
      </c>
      <c r="H10" s="70">
        <f t="shared" si="0"/>
        <v>6.9928327787113798</v>
      </c>
      <c r="I10" s="70">
        <f t="shared" si="0"/>
        <v>6.8400490718293492</v>
      </c>
      <c r="J10" s="70">
        <f t="shared" si="0"/>
        <v>6.7187524818244668</v>
      </c>
      <c r="K10" s="70">
        <f t="shared" si="0"/>
        <v>6.6200626702914338</v>
      </c>
    </row>
    <row r="11" spans="1:16" x14ac:dyDescent="0.25">
      <c r="A11" s="165">
        <v>8</v>
      </c>
      <c r="B11" s="70">
        <f t="shared" si="1"/>
        <v>11.258624143272641</v>
      </c>
      <c r="C11" s="70">
        <f t="shared" si="0"/>
        <v>8.6491106406735145</v>
      </c>
      <c r="D11" s="70">
        <f t="shared" si="0"/>
        <v>7.5909919475988543</v>
      </c>
      <c r="E11" s="70">
        <f t="shared" si="0"/>
        <v>7.006076622955586</v>
      </c>
      <c r="F11" s="70">
        <f t="shared" si="0"/>
        <v>6.6318251645095909</v>
      </c>
      <c r="G11" s="70">
        <f t="shared" si="0"/>
        <v>6.3706807302391981</v>
      </c>
      <c r="H11" s="70">
        <f t="shared" si="0"/>
        <v>6.177624260952248</v>
      </c>
      <c r="I11" s="70">
        <f t="shared" si="0"/>
        <v>6.0288701066125698</v>
      </c>
      <c r="J11" s="70">
        <f t="shared" si="0"/>
        <v>5.9106188491908576</v>
      </c>
      <c r="K11" s="70">
        <f t="shared" si="0"/>
        <v>5.8142938551226555</v>
      </c>
    </row>
    <row r="12" spans="1:16" x14ac:dyDescent="0.25">
      <c r="A12" s="165">
        <v>9</v>
      </c>
      <c r="B12" s="70">
        <f t="shared" si="1"/>
        <v>10.56143104739539</v>
      </c>
      <c r="C12" s="70">
        <f t="shared" si="0"/>
        <v>8.0215173099320634</v>
      </c>
      <c r="D12" s="70">
        <f t="shared" si="0"/>
        <v>6.9919172222334662</v>
      </c>
      <c r="E12" s="70">
        <f t="shared" si="0"/>
        <v>6.422085458153199</v>
      </c>
      <c r="F12" s="70">
        <f t="shared" si="0"/>
        <v>6.05694071411867</v>
      </c>
      <c r="G12" s="70">
        <f t="shared" si="0"/>
        <v>5.8017703065351292</v>
      </c>
      <c r="H12" s="70">
        <f t="shared" si="0"/>
        <v>5.6128654773762401</v>
      </c>
      <c r="I12" s="70">
        <f t="shared" si="0"/>
        <v>5.4671225154147729</v>
      </c>
      <c r="J12" s="70">
        <f t="shared" si="0"/>
        <v>5.3511288611485881</v>
      </c>
      <c r="K12" s="70">
        <f t="shared" si="0"/>
        <v>5.2565419912884597</v>
      </c>
    </row>
    <row r="13" spans="1:16" x14ac:dyDescent="0.25">
      <c r="A13" s="165">
        <v>10</v>
      </c>
      <c r="B13" s="70">
        <f t="shared" si="1"/>
        <v>10.044289273396597</v>
      </c>
      <c r="C13" s="70">
        <f t="shared" si="0"/>
        <v>7.5594321575479011</v>
      </c>
      <c r="D13" s="70">
        <f t="shared" si="0"/>
        <v>6.5523125575152115</v>
      </c>
      <c r="E13" s="70">
        <f t="shared" si="0"/>
        <v>5.9943386616293672</v>
      </c>
      <c r="F13" s="70">
        <f t="shared" si="0"/>
        <v>5.6363261876690833</v>
      </c>
      <c r="G13" s="70">
        <f t="shared" si="0"/>
        <v>5.3858110448457959</v>
      </c>
      <c r="H13" s="70">
        <f t="shared" si="0"/>
        <v>5.200121250549973</v>
      </c>
      <c r="I13" s="70">
        <f t="shared" si="0"/>
        <v>5.0566931317444173</v>
      </c>
      <c r="J13" s="70">
        <f t="shared" si="0"/>
        <v>4.9424206520886091</v>
      </c>
      <c r="K13" s="70">
        <f t="shared" si="0"/>
        <v>4.8491468020800275</v>
      </c>
    </row>
    <row r="14" spans="1:16" x14ac:dyDescent="0.25">
      <c r="A14" s="165">
        <v>11</v>
      </c>
      <c r="B14" s="70">
        <f t="shared" si="1"/>
        <v>9.6460341119662498</v>
      </c>
      <c r="C14" s="70">
        <f t="shared" si="0"/>
        <v>7.2057133504573807</v>
      </c>
      <c r="D14" s="70">
        <f t="shared" si="0"/>
        <v>6.2167298115386522</v>
      </c>
      <c r="E14" s="70">
        <f t="shared" si="0"/>
        <v>5.6683002128787736</v>
      </c>
      <c r="F14" s="70">
        <f t="shared" si="0"/>
        <v>5.3160089186084933</v>
      </c>
      <c r="G14" s="70">
        <f t="shared" si="0"/>
        <v>5.0692104311952635</v>
      </c>
      <c r="H14" s="70">
        <f t="shared" si="0"/>
        <v>4.8860720392128734</v>
      </c>
      <c r="I14" s="70">
        <f t="shared" si="0"/>
        <v>4.7444676439354669</v>
      </c>
      <c r="J14" s="70">
        <f t="shared" si="0"/>
        <v>4.6315397476474969</v>
      </c>
      <c r="K14" s="70">
        <f t="shared" si="0"/>
        <v>4.5392818112533204</v>
      </c>
    </row>
    <row r="15" spans="1:16" x14ac:dyDescent="0.25">
      <c r="A15" s="165">
        <v>12</v>
      </c>
      <c r="B15" s="70">
        <f t="shared" si="1"/>
        <v>9.3302121031685576</v>
      </c>
      <c r="C15" s="70">
        <f t="shared" si="0"/>
        <v>6.9266081401913002</v>
      </c>
      <c r="D15" s="70">
        <f t="shared" si="0"/>
        <v>5.9525446815458682</v>
      </c>
      <c r="E15" s="70">
        <f t="shared" si="0"/>
        <v>5.4119514344731394</v>
      </c>
      <c r="F15" s="70">
        <f t="shared" si="0"/>
        <v>5.0643431111429162</v>
      </c>
      <c r="G15" s="70">
        <f t="shared" si="0"/>
        <v>4.8205735018803084</v>
      </c>
      <c r="H15" s="70">
        <f t="shared" si="0"/>
        <v>4.6395024465643369</v>
      </c>
      <c r="I15" s="70">
        <f t="shared" si="0"/>
        <v>4.4993652808474325</v>
      </c>
      <c r="J15" s="70">
        <f t="shared" si="0"/>
        <v>4.3875099631801877</v>
      </c>
      <c r="K15" s="70">
        <f t="shared" si="0"/>
        <v>4.2960544040090491</v>
      </c>
    </row>
    <row r="16" spans="1:16" x14ac:dyDescent="0.25">
      <c r="A16" s="165">
        <v>13</v>
      </c>
      <c r="B16" s="70">
        <f t="shared" si="1"/>
        <v>9.0738057285156639</v>
      </c>
      <c r="C16" s="70">
        <f t="shared" si="0"/>
        <v>6.7009645358807814</v>
      </c>
      <c r="D16" s="70">
        <f t="shared" si="0"/>
        <v>5.739380282773376</v>
      </c>
      <c r="E16" s="70">
        <f t="shared" si="0"/>
        <v>5.2053301894162436</v>
      </c>
      <c r="F16" s="70">
        <f t="shared" si="0"/>
        <v>4.8616212079068015</v>
      </c>
      <c r="G16" s="70">
        <f t="shared" si="0"/>
        <v>4.6203633955848549</v>
      </c>
      <c r="H16" s="70">
        <f t="shared" si="0"/>
        <v>4.4409974106651164</v>
      </c>
      <c r="I16" s="70">
        <f t="shared" si="0"/>
        <v>4.3020620108964467</v>
      </c>
      <c r="J16" s="70">
        <f t="shared" si="0"/>
        <v>4.1910777818110407</v>
      </c>
      <c r="K16" s="70">
        <f t="shared" si="0"/>
        <v>4.1002672623635155</v>
      </c>
    </row>
    <row r="17" spans="1:11" x14ac:dyDescent="0.25">
      <c r="A17" s="165">
        <v>14</v>
      </c>
      <c r="B17" s="70">
        <f t="shared" si="1"/>
        <v>8.8615926651764276</v>
      </c>
      <c r="C17" s="70">
        <f t="shared" si="0"/>
        <v>6.5148841021827506</v>
      </c>
      <c r="D17" s="70">
        <f t="shared" si="0"/>
        <v>5.5638858396937421</v>
      </c>
      <c r="E17" s="70">
        <f t="shared" si="0"/>
        <v>5.0353779733294379</v>
      </c>
      <c r="F17" s="70">
        <f t="shared" si="0"/>
        <v>4.694963579397716</v>
      </c>
      <c r="G17" s="70">
        <f t="shared" si="0"/>
        <v>4.4558200259277569</v>
      </c>
      <c r="H17" s="70">
        <f t="shared" si="0"/>
        <v>4.2778818532656411</v>
      </c>
      <c r="I17" s="70">
        <f t="shared" si="0"/>
        <v>4.1399460751272388</v>
      </c>
      <c r="J17" s="70">
        <f t="shared" si="0"/>
        <v>4.0296803368958729</v>
      </c>
      <c r="K17" s="70">
        <f t="shared" si="0"/>
        <v>3.9393963713246292</v>
      </c>
    </row>
    <row r="18" spans="1:11" x14ac:dyDescent="0.25">
      <c r="A18" s="165">
        <v>15</v>
      </c>
      <c r="B18" s="70">
        <f t="shared" si="1"/>
        <v>8.6831168176389504</v>
      </c>
      <c r="C18" s="70">
        <f t="shared" si="0"/>
        <v>6.3588734806671825</v>
      </c>
      <c r="D18" s="70">
        <f t="shared" si="0"/>
        <v>5.4169648578184191</v>
      </c>
      <c r="E18" s="70">
        <f t="shared" si="0"/>
        <v>4.8932095893215815</v>
      </c>
      <c r="F18" s="70">
        <f t="shared" si="0"/>
        <v>4.5556139846530046</v>
      </c>
      <c r="G18" s="70">
        <f t="shared" si="0"/>
        <v>4.3182730537670349</v>
      </c>
      <c r="H18" s="70">
        <f t="shared" si="0"/>
        <v>4.1415463070309544</v>
      </c>
      <c r="I18" s="70">
        <f t="shared" si="0"/>
        <v>4.004453186416943</v>
      </c>
      <c r="J18" s="70">
        <f t="shared" si="0"/>
        <v>3.8947881071250618</v>
      </c>
      <c r="K18" s="70">
        <f t="shared" si="0"/>
        <v>3.8049397459502741</v>
      </c>
    </row>
    <row r="19" spans="1:11" x14ac:dyDescent="0.25">
      <c r="A19" s="165">
        <v>16</v>
      </c>
      <c r="B19" s="70">
        <f t="shared" si="1"/>
        <v>8.5309652858962011</v>
      </c>
      <c r="C19" s="70">
        <f t="shared" si="0"/>
        <v>6.2262352803113821</v>
      </c>
      <c r="D19" s="70">
        <f t="shared" si="0"/>
        <v>5.2922140455209483</v>
      </c>
      <c r="E19" s="70">
        <f t="shared" si="0"/>
        <v>4.772577999723211</v>
      </c>
      <c r="F19" s="70">
        <f t="shared" si="0"/>
        <v>4.4374204955396026</v>
      </c>
      <c r="G19" s="70">
        <f t="shared" si="0"/>
        <v>4.2016337042750695</v>
      </c>
      <c r="H19" s="70">
        <f t="shared" si="0"/>
        <v>4.0259465906650673</v>
      </c>
      <c r="I19" s="70">
        <f t="shared" si="0"/>
        <v>3.8895721399261927</v>
      </c>
      <c r="J19" s="70">
        <f t="shared" si="0"/>
        <v>3.7804151699135691</v>
      </c>
      <c r="K19" s="70">
        <f t="shared" si="0"/>
        <v>3.690931417895162</v>
      </c>
    </row>
    <row r="20" spans="1:11" x14ac:dyDescent="0.25">
      <c r="A20" s="165">
        <v>17</v>
      </c>
      <c r="B20" s="70">
        <f t="shared" si="1"/>
        <v>8.3997401451896341</v>
      </c>
      <c r="C20" s="70">
        <f t="shared" si="1"/>
        <v>6.1121137157978822</v>
      </c>
      <c r="D20" s="70">
        <f t="shared" si="1"/>
        <v>5.1849999172952197</v>
      </c>
      <c r="E20" s="70">
        <f t="shared" si="1"/>
        <v>4.6689676019514152</v>
      </c>
      <c r="F20" s="70">
        <f t="shared" si="1"/>
        <v>4.3359390831830762</v>
      </c>
      <c r="G20" s="70">
        <f t="shared" si="1"/>
        <v>4.101505325976615</v>
      </c>
      <c r="H20" s="70">
        <f t="shared" si="1"/>
        <v>3.9267193882777263</v>
      </c>
      <c r="I20" s="70">
        <f t="shared" si="1"/>
        <v>3.7909641782241854</v>
      </c>
      <c r="J20" s="70">
        <f t="shared" si="1"/>
        <v>3.6822415240458652</v>
      </c>
      <c r="K20" s="70">
        <f t="shared" si="1"/>
        <v>3.5930661336058214</v>
      </c>
    </row>
    <row r="21" spans="1:11" x14ac:dyDescent="0.25">
      <c r="A21" s="165">
        <v>18</v>
      </c>
      <c r="B21" s="70">
        <f t="shared" ref="B21:K33" si="2">_xlfn.F.INV.RT($C$1,B$3,$A21)</f>
        <v>8.2854195550996597</v>
      </c>
      <c r="C21" s="70">
        <f t="shared" si="2"/>
        <v>6.0129048348005281</v>
      </c>
      <c r="D21" s="70">
        <f t="shared" si="2"/>
        <v>5.0918895204140124</v>
      </c>
      <c r="E21" s="70">
        <f t="shared" si="2"/>
        <v>4.5790359665984486</v>
      </c>
      <c r="F21" s="70">
        <f t="shared" si="2"/>
        <v>4.2478821502317352</v>
      </c>
      <c r="G21" s="70">
        <f t="shared" si="2"/>
        <v>4.0146365073547567</v>
      </c>
      <c r="H21" s="70">
        <f t="shared" si="2"/>
        <v>3.8406386598979738</v>
      </c>
      <c r="I21" s="70">
        <f t="shared" si="2"/>
        <v>3.7054218811720387</v>
      </c>
      <c r="J21" s="70">
        <f t="shared" si="2"/>
        <v>3.5970739135457501</v>
      </c>
      <c r="K21" s="70">
        <f t="shared" si="2"/>
        <v>3.5081617296992724</v>
      </c>
    </row>
    <row r="22" spans="1:11" x14ac:dyDescent="0.25">
      <c r="A22" s="165">
        <v>19</v>
      </c>
      <c r="B22" s="70">
        <f t="shared" si="2"/>
        <v>8.184946822468925</v>
      </c>
      <c r="C22" s="70">
        <f t="shared" si="2"/>
        <v>5.9258790222928566</v>
      </c>
      <c r="D22" s="70">
        <f t="shared" si="2"/>
        <v>5.0102868436196015</v>
      </c>
      <c r="E22" s="70">
        <f t="shared" si="2"/>
        <v>4.5002576989066974</v>
      </c>
      <c r="F22" s="70">
        <f t="shared" si="2"/>
        <v>4.1707669806148076</v>
      </c>
      <c r="G22" s="70">
        <f t="shared" si="2"/>
        <v>3.9385726154799414</v>
      </c>
      <c r="H22" s="70">
        <f t="shared" si="2"/>
        <v>3.7652693946393363</v>
      </c>
      <c r="I22" s="70">
        <f t="shared" si="2"/>
        <v>3.630524582702261</v>
      </c>
      <c r="J22" s="70">
        <f t="shared" si="2"/>
        <v>3.5225025399101528</v>
      </c>
      <c r="K22" s="70">
        <f t="shared" si="2"/>
        <v>3.4338168829739004</v>
      </c>
    </row>
    <row r="23" spans="1:11" x14ac:dyDescent="0.25">
      <c r="A23" s="165">
        <v>20</v>
      </c>
      <c r="B23" s="70">
        <f t="shared" si="2"/>
        <v>8.0959580640856981</v>
      </c>
      <c r="C23" s="70">
        <f t="shared" si="2"/>
        <v>5.8489319246111338</v>
      </c>
      <c r="D23" s="70">
        <f t="shared" si="2"/>
        <v>4.9381933823105379</v>
      </c>
      <c r="E23" s="70">
        <f t="shared" si="2"/>
        <v>4.4306901614377745</v>
      </c>
      <c r="F23" s="70">
        <f t="shared" si="2"/>
        <v>4.1026846305847338</v>
      </c>
      <c r="G23" s="70">
        <f t="shared" si="2"/>
        <v>3.8714268151294093</v>
      </c>
      <c r="H23" s="70">
        <f t="shared" si="2"/>
        <v>3.6987401520550511</v>
      </c>
      <c r="I23" s="70">
        <f t="shared" si="2"/>
        <v>3.5644120532989327</v>
      </c>
      <c r="J23" s="70">
        <f t="shared" si="2"/>
        <v>3.4566756315171574</v>
      </c>
      <c r="K23" s="70">
        <f t="shared" si="2"/>
        <v>3.3681863891887427</v>
      </c>
    </row>
    <row r="24" spans="1:11" x14ac:dyDescent="0.25">
      <c r="A24" s="165">
        <v>21</v>
      </c>
      <c r="B24" s="70">
        <f t="shared" si="2"/>
        <v>8.0165969468084768</v>
      </c>
      <c r="C24" s="70">
        <f t="shared" si="2"/>
        <v>5.7804156882425568</v>
      </c>
      <c r="D24" s="70">
        <f t="shared" si="2"/>
        <v>4.8740461970006939</v>
      </c>
      <c r="E24" s="70">
        <f t="shared" si="2"/>
        <v>4.3688151740781915</v>
      </c>
      <c r="F24" s="70">
        <f t="shared" si="2"/>
        <v>4.0421438611741243</v>
      </c>
      <c r="G24" s="70">
        <f t="shared" si="2"/>
        <v>3.8117254972548089</v>
      </c>
      <c r="H24" s="70">
        <f t="shared" si="2"/>
        <v>3.639589558217867</v>
      </c>
      <c r="I24" s="70">
        <f t="shared" si="2"/>
        <v>3.5056317946181963</v>
      </c>
      <c r="J24" s="70">
        <f t="shared" si="2"/>
        <v>3.3981473576496946</v>
      </c>
      <c r="K24" s="70">
        <f t="shared" si="2"/>
        <v>3.3098295716133923</v>
      </c>
    </row>
    <row r="25" spans="1:11" x14ac:dyDescent="0.25">
      <c r="A25" s="165">
        <v>22</v>
      </c>
      <c r="B25" s="70">
        <f t="shared" si="2"/>
        <v>7.9453857291700425</v>
      </c>
      <c r="C25" s="70">
        <f t="shared" si="2"/>
        <v>5.7190219124822725</v>
      </c>
      <c r="D25" s="70">
        <f t="shared" si="2"/>
        <v>4.8166057778160596</v>
      </c>
      <c r="E25" s="70">
        <f t="shared" si="2"/>
        <v>4.3134294969595839</v>
      </c>
      <c r="F25" s="70">
        <f t="shared" si="2"/>
        <v>3.9879632231269468</v>
      </c>
      <c r="G25" s="70">
        <f t="shared" si="2"/>
        <v>3.7583014350037565</v>
      </c>
      <c r="H25" s="70">
        <f t="shared" si="2"/>
        <v>3.58666022429485</v>
      </c>
      <c r="I25" s="70">
        <f t="shared" si="2"/>
        <v>3.4530335271058066</v>
      </c>
      <c r="J25" s="70">
        <f t="shared" si="2"/>
        <v>3.3457727565515318</v>
      </c>
      <c r="K25" s="70">
        <f t="shared" si="2"/>
        <v>3.2576055600492366</v>
      </c>
    </row>
    <row r="26" spans="1:11" x14ac:dyDescent="0.25">
      <c r="A26" s="165">
        <v>23</v>
      </c>
      <c r="B26" s="70">
        <f t="shared" si="2"/>
        <v>7.8811336413683684</v>
      </c>
      <c r="C26" s="70">
        <f t="shared" si="2"/>
        <v>5.6636987680960402</v>
      </c>
      <c r="D26" s="70">
        <f t="shared" si="2"/>
        <v>4.7648767593744088</v>
      </c>
      <c r="E26" s="70">
        <f t="shared" si="2"/>
        <v>4.2635674594574988</v>
      </c>
      <c r="F26" s="70">
        <f t="shared" si="2"/>
        <v>3.9391948547411948</v>
      </c>
      <c r="G26" s="70">
        <f t="shared" si="2"/>
        <v>3.7102183612777666</v>
      </c>
      <c r="H26" s="70">
        <f t="shared" si="2"/>
        <v>3.5390238778798131</v>
      </c>
      <c r="I26" s="70">
        <f t="shared" si="2"/>
        <v>3.4056947335838363</v>
      </c>
      <c r="J26" s="70">
        <f t="shared" si="2"/>
        <v>3.2986335973739407</v>
      </c>
      <c r="K26" s="70">
        <f t="shared" si="2"/>
        <v>3.2105994059372773</v>
      </c>
    </row>
    <row r="27" spans="1:11" x14ac:dyDescent="0.25">
      <c r="A27" s="165">
        <v>24</v>
      </c>
      <c r="B27" s="70">
        <f t="shared" si="2"/>
        <v>7.8228705933679761</v>
      </c>
      <c r="C27" s="70">
        <f t="shared" si="2"/>
        <v>5.6135912114648372</v>
      </c>
      <c r="D27" s="70">
        <f t="shared" si="2"/>
        <v>4.7180508074958016</v>
      </c>
      <c r="E27" s="70">
        <f t="shared" si="2"/>
        <v>4.2184452673562687</v>
      </c>
      <c r="F27" s="70">
        <f t="shared" si="2"/>
        <v>3.8950696548170858</v>
      </c>
      <c r="G27" s="70">
        <f t="shared" si="2"/>
        <v>3.6667167179453148</v>
      </c>
      <c r="H27" s="70">
        <f t="shared" si="2"/>
        <v>3.4959275204932752</v>
      </c>
      <c r="I27" s="70">
        <f t="shared" si="2"/>
        <v>3.3628671199494815</v>
      </c>
      <c r="J27" s="70">
        <f t="shared" si="2"/>
        <v>3.2559850744613912</v>
      </c>
      <c r="K27" s="70">
        <f t="shared" si="2"/>
        <v>3.1680689619836455</v>
      </c>
    </row>
    <row r="28" spans="1:11" x14ac:dyDescent="0.25">
      <c r="A28" s="165">
        <v>25</v>
      </c>
      <c r="B28" s="70">
        <f t="shared" si="2"/>
        <v>7.769798415368995</v>
      </c>
      <c r="C28" s="70">
        <f t="shared" si="2"/>
        <v>5.5679971343240915</v>
      </c>
      <c r="D28" s="70">
        <f t="shared" si="2"/>
        <v>4.6754647823259132</v>
      </c>
      <c r="E28" s="70">
        <f t="shared" si="2"/>
        <v>4.1774202346456386</v>
      </c>
      <c r="F28" s="70">
        <f t="shared" si="2"/>
        <v>3.8549571646630025</v>
      </c>
      <c r="G28" s="70">
        <f t="shared" si="2"/>
        <v>3.6271739696815497</v>
      </c>
      <c r="H28" s="70">
        <f t="shared" si="2"/>
        <v>3.4567540466360827</v>
      </c>
      <c r="I28" s="70">
        <f t="shared" si="2"/>
        <v>3.3239374603151659</v>
      </c>
      <c r="J28" s="70">
        <f t="shared" si="2"/>
        <v>3.2172168262410796</v>
      </c>
      <c r="K28" s="70">
        <f t="shared" si="2"/>
        <v>3.1294060385896803</v>
      </c>
    </row>
    <row r="29" spans="1:11" x14ac:dyDescent="0.25">
      <c r="A29" s="165">
        <v>26</v>
      </c>
      <c r="B29" s="70">
        <f t="shared" si="2"/>
        <v>7.7212544577376017</v>
      </c>
      <c r="C29" s="70">
        <f t="shared" si="2"/>
        <v>5.5263347139389776</v>
      </c>
      <c r="D29" s="70">
        <f t="shared" si="2"/>
        <v>4.6365696243343484</v>
      </c>
      <c r="E29" s="70">
        <f t="shared" si="2"/>
        <v>4.1399604836950115</v>
      </c>
      <c r="F29" s="70">
        <f t="shared" si="2"/>
        <v>3.8183357627898964</v>
      </c>
      <c r="G29" s="70">
        <f t="shared" si="2"/>
        <v>3.5910751263933767</v>
      </c>
      <c r="H29" s="70">
        <f t="shared" si="2"/>
        <v>3.4209929972886104</v>
      </c>
      <c r="I29" s="70">
        <f t="shared" si="2"/>
        <v>3.2883985212388325</v>
      </c>
      <c r="J29" s="70">
        <f t="shared" si="2"/>
        <v>3.1818239903274277</v>
      </c>
      <c r="K29" s="70">
        <f t="shared" si="2"/>
        <v>3.0941075623036727</v>
      </c>
    </row>
    <row r="30" spans="1:11" x14ac:dyDescent="0.25">
      <c r="A30" s="165">
        <v>27</v>
      </c>
      <c r="B30" s="70">
        <f t="shared" si="2"/>
        <v>7.6766840488874859</v>
      </c>
      <c r="C30" s="70">
        <f t="shared" si="2"/>
        <v>5.488117768420703</v>
      </c>
      <c r="D30" s="70">
        <f t="shared" si="2"/>
        <v>4.6009068946622849</v>
      </c>
      <c r="E30" s="70">
        <f t="shared" si="2"/>
        <v>4.1056221130833501</v>
      </c>
      <c r="F30" s="70">
        <f t="shared" si="2"/>
        <v>3.7847702132414436</v>
      </c>
      <c r="G30" s="70">
        <f t="shared" si="2"/>
        <v>3.5579905431887022</v>
      </c>
      <c r="H30" s="70">
        <f t="shared" si="2"/>
        <v>3.3882185368762139</v>
      </c>
      <c r="I30" s="70">
        <f t="shared" si="2"/>
        <v>3.2558271691272624</v>
      </c>
      <c r="J30" s="70">
        <f t="shared" si="2"/>
        <v>3.1493854106511754</v>
      </c>
      <c r="K30" s="70">
        <f t="shared" si="2"/>
        <v>3.0617538614993811</v>
      </c>
    </row>
    <row r="31" spans="1:11" x14ac:dyDescent="0.25">
      <c r="A31" s="165">
        <v>28</v>
      </c>
      <c r="B31" s="70">
        <f t="shared" si="2"/>
        <v>7.6356193977628095</v>
      </c>
      <c r="C31" s="70">
        <f t="shared" si="2"/>
        <v>5.4529369212239249</v>
      </c>
      <c r="D31" s="70">
        <f t="shared" si="2"/>
        <v>4.568090863679573</v>
      </c>
      <c r="E31" s="70">
        <f t="shared" si="2"/>
        <v>4.07403177491961</v>
      </c>
      <c r="F31" s="70">
        <f t="shared" si="2"/>
        <v>3.753894538830854</v>
      </c>
      <c r="G31" s="70">
        <f t="shared" si="2"/>
        <v>3.5275589889138619</v>
      </c>
      <c r="H31" s="70">
        <f t="shared" si="2"/>
        <v>3.3580726588472127</v>
      </c>
      <c r="I31" s="70">
        <f t="shared" si="2"/>
        <v>3.2258676765439178</v>
      </c>
      <c r="J31" s="70">
        <f t="shared" si="2"/>
        <v>3.1195470205736457</v>
      </c>
      <c r="K31" s="70">
        <f t="shared" si="2"/>
        <v>3.0319921098269678</v>
      </c>
    </row>
    <row r="32" spans="1:11" x14ac:dyDescent="0.25">
      <c r="A32" s="165">
        <v>29</v>
      </c>
      <c r="B32" s="70">
        <f t="shared" si="2"/>
        <v>7.59766324995402</v>
      </c>
      <c r="C32" s="70">
        <f t="shared" si="2"/>
        <v>5.420445040307313</v>
      </c>
      <c r="D32" s="70">
        <f t="shared" si="2"/>
        <v>4.5377946777611333</v>
      </c>
      <c r="E32" s="70">
        <f t="shared" si="2"/>
        <v>4.0448732260845732</v>
      </c>
      <c r="F32" s="70">
        <f t="shared" si="2"/>
        <v>3.7253988048022095</v>
      </c>
      <c r="G32" s="70">
        <f t="shared" si="2"/>
        <v>3.4994745829027694</v>
      </c>
      <c r="H32" s="70">
        <f t="shared" si="2"/>
        <v>3.3302522295877437</v>
      </c>
      <c r="I32" s="70">
        <f t="shared" si="2"/>
        <v>3.1982188446886846</v>
      </c>
      <c r="J32" s="70">
        <f t="shared" si="2"/>
        <v>3.0920090251085832</v>
      </c>
      <c r="K32" s="70">
        <f t="shared" si="2"/>
        <v>3.0045235552378218</v>
      </c>
    </row>
    <row r="33" spans="1:11" x14ac:dyDescent="0.25">
      <c r="A33" s="165">
        <v>30</v>
      </c>
      <c r="B33" s="70">
        <f t="shared" si="2"/>
        <v>7.5624760946386322</v>
      </c>
      <c r="C33" s="70">
        <f t="shared" si="2"/>
        <v>5.3903458631778829</v>
      </c>
      <c r="D33" s="70">
        <f t="shared" si="2"/>
        <v>4.5097395624590648</v>
      </c>
      <c r="E33" s="70">
        <f t="shared" si="2"/>
        <v>4.0178768365875239</v>
      </c>
      <c r="F33" s="70">
        <f t="shared" si="2"/>
        <v>3.6990188114125706</v>
      </c>
      <c r="G33" s="70">
        <f t="shared" si="2"/>
        <v>3.4734766086671285</v>
      </c>
      <c r="H33" s="70">
        <f t="shared" si="2"/>
        <v>3.3044988866923952</v>
      </c>
      <c r="I33" s="70">
        <f t="shared" si="2"/>
        <v>3.1726239635133386</v>
      </c>
      <c r="J33" s="70">
        <f t="shared" si="2"/>
        <v>3.0665159079349871</v>
      </c>
      <c r="K33" s="70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topLeftCell="A19" zoomScale="85" zoomScaleNormal="85" workbookViewId="0">
      <selection activeCell="I36" sqref="I36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84" t="s">
        <v>73</v>
      </c>
      <c r="B1" s="184"/>
      <c r="C1" s="184"/>
      <c r="D1" s="184"/>
      <c r="E1" s="184"/>
      <c r="F1" s="184"/>
      <c r="I1" s="185" t="s">
        <v>74</v>
      </c>
      <c r="J1" s="186"/>
      <c r="K1" s="186"/>
      <c r="L1" s="186"/>
      <c r="M1" s="186"/>
      <c r="N1" s="187"/>
    </row>
    <row r="2" spans="1:14" ht="7.5" customHeight="1" x14ac:dyDescent="0.25">
      <c r="I2" s="188"/>
      <c r="J2" s="189"/>
      <c r="K2" s="189"/>
      <c r="L2" s="189"/>
      <c r="M2" s="189"/>
      <c r="N2" s="190"/>
    </row>
    <row r="3" spans="1:14" x14ac:dyDescent="0.25">
      <c r="C3" s="194" t="s">
        <v>248</v>
      </c>
      <c r="D3" s="194"/>
      <c r="E3" s="194"/>
      <c r="F3" s="194"/>
      <c r="I3" s="188"/>
      <c r="J3" s="189"/>
      <c r="K3" s="189"/>
      <c r="L3" s="189"/>
      <c r="M3" s="189"/>
      <c r="N3" s="190"/>
    </row>
    <row r="4" spans="1:14" x14ac:dyDescent="0.25">
      <c r="C4" s="28" t="s">
        <v>252</v>
      </c>
      <c r="D4" s="28" t="s">
        <v>253</v>
      </c>
      <c r="E4" s="28" t="s">
        <v>254</v>
      </c>
      <c r="F4" s="29" t="s">
        <v>75</v>
      </c>
      <c r="I4" s="188"/>
      <c r="J4" s="189"/>
      <c r="K4" s="189"/>
      <c r="L4" s="189"/>
      <c r="M4" s="189"/>
      <c r="N4" s="190"/>
    </row>
    <row r="5" spans="1:14" x14ac:dyDescent="0.25">
      <c r="A5" s="194" t="s">
        <v>247</v>
      </c>
      <c r="B5" s="30" t="s">
        <v>249</v>
      </c>
      <c r="C5" s="12">
        <v>40</v>
      </c>
      <c r="D5" s="12">
        <v>16</v>
      </c>
      <c r="E5" s="12">
        <v>12</v>
      </c>
      <c r="F5" s="31">
        <f>+SUM(C5:E5)</f>
        <v>68</v>
      </c>
      <c r="I5" s="188"/>
      <c r="J5" s="189"/>
      <c r="K5" s="189"/>
      <c r="L5" s="189"/>
      <c r="M5" s="189"/>
      <c r="N5" s="190"/>
    </row>
    <row r="6" spans="1:14" x14ac:dyDescent="0.25">
      <c r="A6" s="194"/>
      <c r="B6" s="30" t="s">
        <v>250</v>
      </c>
      <c r="C6" s="12">
        <v>32</v>
      </c>
      <c r="D6" s="12">
        <v>24</v>
      </c>
      <c r="E6" s="12">
        <v>16</v>
      </c>
      <c r="F6" s="31">
        <f>+SUM(C6:E6)</f>
        <v>72</v>
      </c>
      <c r="I6" s="191"/>
      <c r="J6" s="192"/>
      <c r="K6" s="192"/>
      <c r="L6" s="192"/>
      <c r="M6" s="192"/>
      <c r="N6" s="193"/>
    </row>
    <row r="7" spans="1:14" x14ac:dyDescent="0.25">
      <c r="A7" s="194"/>
      <c r="B7" s="30" t="s">
        <v>251</v>
      </c>
      <c r="C7" s="12">
        <v>24</v>
      </c>
      <c r="D7" s="12">
        <v>32</v>
      </c>
      <c r="E7" s="12">
        <v>4</v>
      </c>
      <c r="F7" s="31">
        <f>+SUM(C7:E7)</f>
        <v>60</v>
      </c>
    </row>
    <row r="8" spans="1:14" x14ac:dyDescent="0.25">
      <c r="A8" s="194"/>
      <c r="B8" s="30" t="s">
        <v>75</v>
      </c>
      <c r="C8" s="31">
        <f>+SUM(C5:C7)</f>
        <v>96</v>
      </c>
      <c r="D8" s="31">
        <f t="shared" ref="D8:F8" si="0">+SUM(D5:D7)</f>
        <v>72</v>
      </c>
      <c r="E8" s="31">
        <f t="shared" si="0"/>
        <v>32</v>
      </c>
      <c r="F8" s="31">
        <f t="shared" si="0"/>
        <v>200</v>
      </c>
    </row>
    <row r="9" spans="1:14" x14ac:dyDescent="0.25">
      <c r="A9" s="32"/>
      <c r="B9" s="15"/>
      <c r="C9" s="14"/>
      <c r="D9" s="14"/>
      <c r="E9" s="14"/>
      <c r="F9" s="14"/>
    </row>
    <row r="11" spans="1:14" x14ac:dyDescent="0.25">
      <c r="A11" s="184" t="s">
        <v>76</v>
      </c>
      <c r="B11" s="184"/>
      <c r="C11" s="184"/>
      <c r="D11" s="184"/>
      <c r="E11" s="184"/>
      <c r="F11" s="184"/>
    </row>
    <row r="12" spans="1:14" ht="7.5" customHeight="1" x14ac:dyDescent="0.25"/>
    <row r="13" spans="1:14" x14ac:dyDescent="0.25">
      <c r="C13" s="181" t="s">
        <v>248</v>
      </c>
      <c r="D13" s="182"/>
      <c r="E13" s="183"/>
    </row>
    <row r="14" spans="1:14" x14ac:dyDescent="0.25">
      <c r="C14" s="28" t="s">
        <v>252</v>
      </c>
      <c r="D14" s="28" t="s">
        <v>253</v>
      </c>
      <c r="E14" s="28" t="s">
        <v>254</v>
      </c>
    </row>
    <row r="15" spans="1:14" x14ac:dyDescent="0.25">
      <c r="A15" s="194" t="s">
        <v>247</v>
      </c>
      <c r="B15" s="30" t="s">
        <v>249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94"/>
      <c r="B16" s="30" t="s">
        <v>250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94"/>
      <c r="B17" s="30" t="s">
        <v>251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2"/>
      <c r="B18" s="15"/>
      <c r="C18" s="33"/>
      <c r="D18" s="33"/>
      <c r="E18" s="33"/>
    </row>
    <row r="20" spans="1:6" x14ac:dyDescent="0.25">
      <c r="A20" s="184" t="s">
        <v>77</v>
      </c>
      <c r="B20" s="184"/>
      <c r="C20" s="184"/>
      <c r="D20" s="184"/>
      <c r="E20" s="184"/>
      <c r="F20" s="184"/>
    </row>
    <row r="21" spans="1:6" ht="7.5" customHeight="1" x14ac:dyDescent="0.25"/>
    <row r="22" spans="1:6" x14ac:dyDescent="0.25">
      <c r="C22" s="181" t="s">
        <v>248</v>
      </c>
      <c r="D22" s="182"/>
      <c r="E22" s="183"/>
    </row>
    <row r="23" spans="1:6" x14ac:dyDescent="0.25">
      <c r="C23" s="28" t="s">
        <v>252</v>
      </c>
      <c r="D23" s="28" t="s">
        <v>253</v>
      </c>
      <c r="E23" s="28" t="s">
        <v>254</v>
      </c>
    </row>
    <row r="24" spans="1:6" x14ac:dyDescent="0.25">
      <c r="A24" s="194" t="s">
        <v>247</v>
      </c>
      <c r="B24" s="30" t="s">
        <v>249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94"/>
      <c r="B25" s="30" t="s">
        <v>250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94"/>
      <c r="B26" s="30" t="s">
        <v>251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2"/>
      <c r="B27" s="15"/>
      <c r="C27" s="33"/>
      <c r="D27" s="33"/>
      <c r="E27" s="33"/>
    </row>
    <row r="29" spans="1:6" x14ac:dyDescent="0.25">
      <c r="A29" s="184" t="s">
        <v>78</v>
      </c>
      <c r="B29" s="184"/>
      <c r="C29" s="184"/>
      <c r="D29" s="184"/>
      <c r="E29" s="184"/>
      <c r="F29" s="184"/>
    </row>
    <row r="30" spans="1:6" ht="7.5" customHeight="1" x14ac:dyDescent="0.25"/>
    <row r="31" spans="1:6" x14ac:dyDescent="0.25">
      <c r="C31" s="181" t="s">
        <v>248</v>
      </c>
      <c r="D31" s="182"/>
      <c r="E31" s="183"/>
    </row>
    <row r="32" spans="1:6" x14ac:dyDescent="0.25">
      <c r="C32" s="28" t="s">
        <v>252</v>
      </c>
      <c r="D32" s="28" t="s">
        <v>253</v>
      </c>
      <c r="E32" s="28" t="s">
        <v>254</v>
      </c>
    </row>
    <row r="33" spans="1:5" x14ac:dyDescent="0.25">
      <c r="A33" s="194" t="s">
        <v>247</v>
      </c>
      <c r="B33" s="30" t="s">
        <v>249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94"/>
      <c r="B34" s="30" t="s">
        <v>250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94"/>
      <c r="B35" s="30" t="s">
        <v>251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6" t="s">
        <v>79</v>
      </c>
      <c r="C37" s="168">
        <f>+SUM(C33:E35)</f>
        <v>15.860566448801741</v>
      </c>
    </row>
    <row r="38" spans="1:5" x14ac:dyDescent="0.25">
      <c r="B38" s="169" t="s">
        <v>80</v>
      </c>
      <c r="C38" s="170">
        <f>_xlfn.CHISQ.DIST.RT(C37,4)</f>
        <v>3.2120846981537211E-3</v>
      </c>
    </row>
    <row r="39" spans="1:5" x14ac:dyDescent="0.25">
      <c r="B39" s="34" t="s">
        <v>81</v>
      </c>
    </row>
    <row r="41" spans="1:5" x14ac:dyDescent="0.25">
      <c r="B41" s="169" t="s">
        <v>82</v>
      </c>
      <c r="C41" s="170">
        <f>_xlfn.CHISQ.INV.RT(5%,4)</f>
        <v>9.4877290367811575</v>
      </c>
    </row>
    <row r="43" spans="1:5" x14ac:dyDescent="0.25">
      <c r="B43" s="14" t="s">
        <v>37</v>
      </c>
      <c r="C43" s="15" t="s">
        <v>255</v>
      </c>
    </row>
    <row r="44" spans="1:5" x14ac:dyDescent="0.25">
      <c r="B44" s="14" t="s">
        <v>38</v>
      </c>
      <c r="C44" s="15" t="s">
        <v>256</v>
      </c>
    </row>
    <row r="46" spans="1:5" ht="15" customHeight="1" x14ac:dyDescent="0.25">
      <c r="B46" s="172" t="s">
        <v>257</v>
      </c>
      <c r="C46" s="173"/>
      <c r="D46" s="174"/>
    </row>
    <row r="47" spans="1:5" x14ac:dyDescent="0.25">
      <c r="B47" s="175"/>
      <c r="C47" s="176"/>
      <c r="D47" s="177"/>
    </row>
    <row r="48" spans="1:5" x14ac:dyDescent="0.25">
      <c r="B48" s="175"/>
      <c r="C48" s="176"/>
      <c r="D48" s="177"/>
    </row>
    <row r="49" spans="2:4" x14ac:dyDescent="0.25">
      <c r="B49" s="175"/>
      <c r="C49" s="176"/>
      <c r="D49" s="177"/>
    </row>
    <row r="50" spans="2:4" x14ac:dyDescent="0.25">
      <c r="B50" s="178"/>
      <c r="C50" s="179"/>
      <c r="D50" s="180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zoomScale="90" zoomScaleNormal="90" workbookViewId="0">
      <selection activeCell="E4" sqref="E4"/>
    </sheetView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35" t="s">
        <v>44</v>
      </c>
      <c r="B1" s="35" t="s">
        <v>83</v>
      </c>
      <c r="C1" s="35" t="s">
        <v>84</v>
      </c>
      <c r="D1" s="35" t="s">
        <v>85</v>
      </c>
      <c r="F1" s="35" t="s">
        <v>52</v>
      </c>
      <c r="G1" s="35" t="s">
        <v>83</v>
      </c>
      <c r="H1" s="35" t="s">
        <v>84</v>
      </c>
      <c r="I1" s="35" t="s">
        <v>85</v>
      </c>
      <c r="K1" s="39"/>
      <c r="L1" s="39" t="s">
        <v>83</v>
      </c>
      <c r="M1" s="39" t="s">
        <v>84</v>
      </c>
      <c r="N1" s="39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8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s="25" t="s">
        <v>83</v>
      </c>
      <c r="L2" s="40">
        <v>1</v>
      </c>
      <c r="M2" s="40"/>
      <c r="N2" s="40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8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s="25" t="s">
        <v>84</v>
      </c>
      <c r="L3" s="42">
        <v>0.60253211241600968</v>
      </c>
      <c r="M3" s="40">
        <v>1</v>
      </c>
      <c r="N3" s="40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6" t="s">
        <v>85</v>
      </c>
      <c r="L4" s="43">
        <v>-0.30878277832686229</v>
      </c>
      <c r="M4" s="43">
        <v>-0.28956102521926369</v>
      </c>
      <c r="N4" s="41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35" t="s">
        <v>90</v>
      </c>
      <c r="G6" s="35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8" t="s">
        <v>87</v>
      </c>
      <c r="G7" s="37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8" t="s">
        <v>88</v>
      </c>
      <c r="G8" s="37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8" t="s">
        <v>89</v>
      </c>
      <c r="G9" s="37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35" t="s">
        <v>91</v>
      </c>
      <c r="G12" s="35" t="s">
        <v>86</v>
      </c>
      <c r="H12" s="82" t="s">
        <v>93</v>
      </c>
      <c r="I12" s="82" t="s">
        <v>80</v>
      </c>
      <c r="K12" s="83" t="s">
        <v>37</v>
      </c>
      <c r="L12" s="84" t="s">
        <v>151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8" t="s">
        <v>87</v>
      </c>
      <c r="G13" s="37">
        <f>CORREL(B2:B31,C2:C31)</f>
        <v>0.60253211241600968</v>
      </c>
      <c r="H13" s="66">
        <f>G13/SQRT((1-(G13^2))/(30-2))</f>
        <v>3.9948899481293116</v>
      </c>
      <c r="I13" s="37">
        <f>_xlfn.T.DIST.2T(H13,28)</f>
        <v>4.2600307295398318E-4</v>
      </c>
      <c r="K13" s="85" t="s">
        <v>38</v>
      </c>
      <c r="L13" s="86" t="s">
        <v>152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8" t="s">
        <v>88</v>
      </c>
      <c r="G14" s="37">
        <f>CORREL(B2:B31,D2:D31)</f>
        <v>-0.30878277832686229</v>
      </c>
      <c r="H14" s="66">
        <f>G14/SQRT((1-(G14^2))/(30-2))</f>
        <v>-1.7178728870656614</v>
      </c>
      <c r="I14" s="37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8" t="s">
        <v>89</v>
      </c>
      <c r="G15" s="37">
        <f>CORREL(C2:C31,D2:D31)</f>
        <v>-0.28956102521926369</v>
      </c>
      <c r="H15" s="66">
        <f>G15/SQRT((1-(G15^2))/(30-2))</f>
        <v>-1.6007915473354706</v>
      </c>
      <c r="I15" s="37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153</v>
      </c>
      <c r="L17" s="81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35" t="s">
        <v>92</v>
      </c>
      <c r="G18" s="35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8" t="s">
        <v>87</v>
      </c>
      <c r="G19" s="37">
        <f>+G7/(G3*H3)</f>
        <v>0.60253211241600924</v>
      </c>
      <c r="K19" s="87" t="s">
        <v>87</v>
      </c>
      <c r="L19" s="88" t="s">
        <v>154</v>
      </c>
      <c r="M19" s="90" t="s">
        <v>155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8" t="s">
        <v>88</v>
      </c>
      <c r="G20" s="37">
        <f>G8/(G3*I3)</f>
        <v>-0.30878277832686235</v>
      </c>
      <c r="K20" s="87" t="s">
        <v>88</v>
      </c>
      <c r="L20" s="89" t="s">
        <v>156</v>
      </c>
      <c r="M20" s="90" t="s">
        <v>158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8" t="s">
        <v>89</v>
      </c>
      <c r="G21" s="37">
        <f>G9/(H3*I3)</f>
        <v>-0.2895610252192638</v>
      </c>
      <c r="K21" s="87" t="s">
        <v>89</v>
      </c>
      <c r="L21" s="89" t="s">
        <v>157</v>
      </c>
      <c r="M21" s="90" t="s">
        <v>158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zoomScale="85" zoomScaleNormal="85" workbookViewId="0">
      <selection activeCell="B5" sqref="B5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8" x14ac:dyDescent="0.25">
      <c r="A1" s="4" t="s">
        <v>94</v>
      </c>
      <c r="B1" s="45"/>
      <c r="E1" s="2" t="s">
        <v>235</v>
      </c>
      <c r="F1" s="154" t="s">
        <v>238</v>
      </c>
      <c r="G1" s="2" t="s">
        <v>232</v>
      </c>
      <c r="H1" s="2" t="s">
        <v>233</v>
      </c>
    </row>
    <row r="2" spans="1:8" x14ac:dyDescent="0.25">
      <c r="A2" s="46" t="s">
        <v>95</v>
      </c>
      <c r="B2" s="47">
        <v>6.5000000000000002E-2</v>
      </c>
      <c r="E2" s="159">
        <v>6.5000000000000002E-2</v>
      </c>
      <c r="F2" s="155">
        <v>12</v>
      </c>
      <c r="G2" s="3">
        <v>0</v>
      </c>
      <c r="H2" s="70">
        <f t="shared" ref="H2" si="0">(FACT($F$2)/(FACT(G2)*FACT($F$2-G2)))*($E$2^G2)*(1-$E$2)^($F$2-G2)</f>
        <v>0.4464155669508198</v>
      </c>
    </row>
    <row r="3" spans="1:8" x14ac:dyDescent="0.25">
      <c r="A3" s="46" t="s">
        <v>96</v>
      </c>
      <c r="B3" s="2">
        <v>12</v>
      </c>
      <c r="G3" s="3">
        <v>1</v>
      </c>
      <c r="H3" s="70">
        <f>(FACT($F$2)/(FACT(G3)*FACT($F$2-G3)))*($E$2^G3)*(1-$E$2)^($F$2-G3)</f>
        <v>0.37241084729587109</v>
      </c>
    </row>
    <row r="4" spans="1:8" x14ac:dyDescent="0.25">
      <c r="A4" s="46" t="s">
        <v>97</v>
      </c>
      <c r="B4" s="2">
        <v>2</v>
      </c>
      <c r="G4" s="3">
        <v>2</v>
      </c>
      <c r="H4" s="70">
        <f t="shared" ref="H4:H12" si="1">(FACT($F$2)/(FACT(G4)*FACT($F$2-G4)))*($E$2^G4)*(1-$E$2)^($F$2-G4)</f>
        <v>0.14239238278959779</v>
      </c>
    </row>
    <row r="5" spans="1:8" x14ac:dyDescent="0.25">
      <c r="G5" s="3">
        <v>3</v>
      </c>
      <c r="H5" s="70">
        <f t="shared" si="1"/>
        <v>3.2996452339835489E-2</v>
      </c>
    </row>
    <row r="6" spans="1:8" x14ac:dyDescent="0.25">
      <c r="G6" s="3">
        <v>4</v>
      </c>
      <c r="H6" s="70">
        <f t="shared" si="1"/>
        <v>5.1612097911239996E-3</v>
      </c>
    </row>
    <row r="7" spans="1:8" x14ac:dyDescent="0.25">
      <c r="A7" s="49" t="s">
        <v>98</v>
      </c>
      <c r="B7" s="50">
        <f>FACT(B3)/(FACT(B4)*FACT(B3-B4))*B2^B4*(1-B2)^(B3-B4)</f>
        <v>0.14239238278959779</v>
      </c>
      <c r="G7" s="3">
        <v>5</v>
      </c>
      <c r="H7" s="70">
        <f t="shared" si="1"/>
        <v>5.7408108906619891E-4</v>
      </c>
    </row>
    <row r="8" spans="1:8" x14ac:dyDescent="0.25">
      <c r="A8" s="44"/>
      <c r="G8" s="3">
        <v>6</v>
      </c>
      <c r="H8" s="70">
        <f t="shared" si="1"/>
        <v>4.6560943943871745E-5</v>
      </c>
    </row>
    <row r="9" spans="1:8" x14ac:dyDescent="0.25">
      <c r="G9" s="3">
        <v>7</v>
      </c>
      <c r="H9" s="70">
        <f t="shared" si="1"/>
        <v>2.7744489133857874E-6</v>
      </c>
    </row>
    <row r="10" spans="1:8" x14ac:dyDescent="0.25">
      <c r="A10" s="46" t="s">
        <v>99</v>
      </c>
      <c r="B10" s="48">
        <v>0.14239238278959779</v>
      </c>
      <c r="G10" s="3">
        <v>8</v>
      </c>
      <c r="H10" s="70">
        <f t="shared" si="1"/>
        <v>1.2054757979283166E-7</v>
      </c>
    </row>
    <row r="11" spans="1:8" x14ac:dyDescent="0.25">
      <c r="A11" s="46" t="s">
        <v>100</v>
      </c>
      <c r="B11" s="48">
        <v>5.1612097911239996E-3</v>
      </c>
      <c r="G11" s="3">
        <v>9</v>
      </c>
      <c r="H11" s="70">
        <f t="shared" si="1"/>
        <v>3.7245835705450069E-9</v>
      </c>
    </row>
    <row r="12" spans="1:8" x14ac:dyDescent="0.25">
      <c r="A12" s="46" t="s">
        <v>101</v>
      </c>
      <c r="B12" s="48">
        <v>0.96121879703628865</v>
      </c>
      <c r="G12" s="3">
        <v>10</v>
      </c>
      <c r="H12" s="70">
        <f t="shared" si="1"/>
        <v>7.7678480883024194E-11</v>
      </c>
    </row>
    <row r="13" spans="1:8" x14ac:dyDescent="0.25">
      <c r="G13" s="135"/>
      <c r="H13" s="136"/>
    </row>
    <row r="14" spans="1:8" x14ac:dyDescent="0.25">
      <c r="G14" s="135"/>
      <c r="H14" s="136"/>
    </row>
    <row r="15" spans="1:8" x14ac:dyDescent="0.25">
      <c r="G15" s="135"/>
      <c r="H15" s="136"/>
    </row>
    <row r="16" spans="1:8" x14ac:dyDescent="0.25">
      <c r="G16" s="135"/>
      <c r="H16" s="136"/>
    </row>
    <row r="17" spans="7:8" x14ac:dyDescent="0.25">
      <c r="G17" s="135"/>
      <c r="H17" s="136"/>
    </row>
    <row r="18" spans="7:8" x14ac:dyDescent="0.25">
      <c r="G18" s="135"/>
      <c r="H18" s="136"/>
    </row>
    <row r="19" spans="7:8" x14ac:dyDescent="0.25">
      <c r="G19" s="135"/>
      <c r="H19" s="136"/>
    </row>
    <row r="20" spans="7:8" x14ac:dyDescent="0.25">
      <c r="G20" s="135"/>
      <c r="H20" s="136"/>
    </row>
    <row r="21" spans="7:8" x14ac:dyDescent="0.25">
      <c r="G21" s="135"/>
      <c r="H21" s="136"/>
    </row>
    <row r="22" spans="7:8" x14ac:dyDescent="0.25">
      <c r="G22" s="135"/>
      <c r="H22" s="136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zoomScale="85" zoomScaleNormal="85" workbookViewId="0">
      <selection activeCell="D18" sqref="D18"/>
    </sheetView>
  </sheetViews>
  <sheetFormatPr defaultRowHeight="15" x14ac:dyDescent="0.25"/>
  <cols>
    <col min="1" max="1" width="37.140625" bestFit="1" customWidth="1"/>
    <col min="2" max="3" width="17.7109375" customWidth="1"/>
    <col min="8" max="8" width="12.85546875" bestFit="1" customWidth="1"/>
  </cols>
  <sheetData>
    <row r="1" spans="1:8" x14ac:dyDescent="0.25">
      <c r="A1" s="4" t="s">
        <v>160</v>
      </c>
      <c r="B1" s="45"/>
      <c r="C1" s="4" t="s">
        <v>161</v>
      </c>
      <c r="E1" s="2" t="s">
        <v>235</v>
      </c>
      <c r="F1" s="154" t="s">
        <v>232</v>
      </c>
      <c r="G1" s="2" t="s">
        <v>234</v>
      </c>
      <c r="H1" s="2" t="s">
        <v>236</v>
      </c>
    </row>
    <row r="2" spans="1:8" x14ac:dyDescent="0.25">
      <c r="A2" s="46" t="s">
        <v>95</v>
      </c>
      <c r="B2" s="91">
        <v>0.11</v>
      </c>
      <c r="C2" s="93"/>
      <c r="E2" s="146">
        <v>0.11</v>
      </c>
      <c r="F2" s="155">
        <v>3</v>
      </c>
      <c r="G2" s="3">
        <v>1</v>
      </c>
      <c r="H2" s="156" t="e">
        <f>(FACT(G2-1)/(FACT($F$2-1)*FACT((G2-1)-($F$2-1))))*($E$2^$F$2)*(1-$E$2)^(G2-$F$2)</f>
        <v>#NUM!</v>
      </c>
    </row>
    <row r="3" spans="1:8" x14ac:dyDescent="0.25">
      <c r="A3" s="46" t="s">
        <v>159</v>
      </c>
      <c r="B3" s="2">
        <v>5</v>
      </c>
      <c r="C3" s="2">
        <f>+B3-1</f>
        <v>4</v>
      </c>
      <c r="G3" s="3">
        <v>2</v>
      </c>
      <c r="H3" s="147" t="e">
        <f t="shared" ref="H3:H21" si="0">(FACT(G3-1)/(FACT($F$2-1)*FACT((G3-1)-($F$2-1))))*($E$2^$F$2)*(1-$E$2)^(G3-$F$2)</f>
        <v>#NUM!</v>
      </c>
    </row>
    <row r="4" spans="1:8" x14ac:dyDescent="0.25">
      <c r="A4" s="46" t="s">
        <v>97</v>
      </c>
      <c r="B4" s="2">
        <v>1</v>
      </c>
      <c r="C4" s="2">
        <f>+B4-1</f>
        <v>0</v>
      </c>
      <c r="G4" s="3">
        <v>3</v>
      </c>
      <c r="H4" s="147">
        <f t="shared" si="0"/>
        <v>1.3309999999999999E-3</v>
      </c>
    </row>
    <row r="5" spans="1:8" x14ac:dyDescent="0.25">
      <c r="G5" s="3">
        <v>4</v>
      </c>
      <c r="H5" s="147">
        <f t="shared" si="0"/>
        <v>3.5537699999999999E-3</v>
      </c>
    </row>
    <row r="6" spans="1:8" x14ac:dyDescent="0.25">
      <c r="G6" s="3">
        <v>5</v>
      </c>
      <c r="H6" s="147">
        <f t="shared" si="0"/>
        <v>6.3257106000000002E-3</v>
      </c>
    </row>
    <row r="7" spans="1:8" x14ac:dyDescent="0.25">
      <c r="A7" s="49" t="s">
        <v>237</v>
      </c>
      <c r="B7" s="50">
        <f>(FACT($C$3)/(FACT($C$4)*FACT($C$3-$C$4)))*($B$2^$B$4)*((1-$B$2)^($B$3-$B$4))</f>
        <v>6.9016465100000007E-2</v>
      </c>
      <c r="G7" s="3">
        <v>6</v>
      </c>
      <c r="H7" s="147">
        <f t="shared" si="0"/>
        <v>9.3831373900000008E-3</v>
      </c>
    </row>
    <row r="8" spans="1:8" x14ac:dyDescent="0.25">
      <c r="A8" s="44"/>
      <c r="G8" s="3">
        <v>7</v>
      </c>
      <c r="H8" s="147">
        <f t="shared" si="0"/>
        <v>1.2526488415650003E-2</v>
      </c>
    </row>
    <row r="9" spans="1:8" x14ac:dyDescent="0.25">
      <c r="G9" s="3">
        <v>8</v>
      </c>
      <c r="H9" s="147">
        <f t="shared" si="0"/>
        <v>1.5608004565899902E-2</v>
      </c>
    </row>
    <row r="10" spans="1:8" x14ac:dyDescent="0.25">
      <c r="A10" s="46" t="s">
        <v>162</v>
      </c>
      <c r="B10" s="48">
        <v>2.119388642854168E-2</v>
      </c>
      <c r="C10" s="92"/>
      <c r="G10" s="3">
        <v>9</v>
      </c>
      <c r="H10" s="147">
        <f t="shared" si="0"/>
        <v>1.8521498751534547E-2</v>
      </c>
    </row>
    <row r="11" spans="1:8" x14ac:dyDescent="0.25">
      <c r="A11" s="46" t="s">
        <v>163</v>
      </c>
      <c r="B11" s="48">
        <v>3.1390936965009157E-2</v>
      </c>
      <c r="C11" s="92"/>
      <c r="G11" s="3">
        <v>10</v>
      </c>
      <c r="H11" s="147">
        <f t="shared" si="0"/>
        <v>2.119388642854168E-2</v>
      </c>
    </row>
    <row r="12" spans="1:8" x14ac:dyDescent="0.25">
      <c r="A12" s="46" t="s">
        <v>164</v>
      </c>
      <c r="B12" s="48">
        <v>6.9016465100000007E-2</v>
      </c>
      <c r="C12" s="92"/>
      <c r="G12" s="157">
        <v>11</v>
      </c>
      <c r="H12" s="158">
        <f t="shared" si="0"/>
        <v>2.3578198651752619E-2</v>
      </c>
    </row>
    <row r="13" spans="1:8" x14ac:dyDescent="0.25">
      <c r="G13" s="157">
        <v>12</v>
      </c>
      <c r="H13" s="158">
        <f t="shared" si="0"/>
        <v>2.564784053340646E-2</v>
      </c>
    </row>
    <row r="14" spans="1:8" x14ac:dyDescent="0.25">
      <c r="G14" s="157">
        <v>13</v>
      </c>
      <c r="H14" s="158">
        <f t="shared" si="0"/>
        <v>2.7391893689678103E-2</v>
      </c>
    </row>
    <row r="15" spans="1:8" x14ac:dyDescent="0.25">
      <c r="G15" s="157">
        <v>14</v>
      </c>
      <c r="H15" s="158">
        <f t="shared" si="0"/>
        <v>2.8811291817234148E-2</v>
      </c>
    </row>
    <row r="16" spans="1:8" x14ac:dyDescent="0.25">
      <c r="G16" s="157">
        <v>15</v>
      </c>
      <c r="H16" s="158">
        <f t="shared" si="0"/>
        <v>2.9915724670228128E-2</v>
      </c>
    </row>
    <row r="17" spans="7:8" x14ac:dyDescent="0.25">
      <c r="G17" s="157">
        <v>16</v>
      </c>
      <c r="H17" s="158">
        <f t="shared" si="0"/>
        <v>3.0721148026734264E-2</v>
      </c>
    </row>
    <row r="18" spans="7:8" x14ac:dyDescent="0.25">
      <c r="G18" s="157">
        <v>17</v>
      </c>
      <c r="H18" s="158">
        <f t="shared" si="0"/>
        <v>3.1247796278621145E-2</v>
      </c>
    </row>
    <row r="19" spans="7:8" x14ac:dyDescent="0.25">
      <c r="G19" s="157">
        <v>18</v>
      </c>
      <c r="H19" s="158">
        <f t="shared" si="0"/>
        <v>3.1518610513035859E-2</v>
      </c>
    </row>
    <row r="20" spans="7:8" x14ac:dyDescent="0.25">
      <c r="G20" s="157">
        <v>19</v>
      </c>
      <c r="H20" s="158">
        <f t="shared" si="0"/>
        <v>3.1558008776177156E-2</v>
      </c>
    </row>
    <row r="21" spans="7:8" x14ac:dyDescent="0.25">
      <c r="G21" s="157">
        <v>20</v>
      </c>
      <c r="H21" s="158">
        <f t="shared" si="0"/>
        <v>3.1390936965009157E-2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102</v>
      </c>
      <c r="B1" s="45"/>
      <c r="E1" s="2" t="s">
        <v>232</v>
      </c>
      <c r="F1" s="2" t="s">
        <v>233</v>
      </c>
    </row>
    <row r="2" spans="1:6" x14ac:dyDescent="0.25">
      <c r="A2" s="46" t="s">
        <v>258</v>
      </c>
      <c r="B2" s="51">
        <v>2</v>
      </c>
      <c r="E2" s="3">
        <v>0</v>
      </c>
      <c r="F2" s="153">
        <f>(EXP(-$B$2)*($B$2^E2))/FACT(E2)</f>
        <v>0.1353352832366127</v>
      </c>
    </row>
    <row r="3" spans="1:6" x14ac:dyDescent="0.25">
      <c r="A3" s="46" t="s">
        <v>97</v>
      </c>
      <c r="B3" s="2">
        <v>1</v>
      </c>
      <c r="E3" s="3">
        <v>1</v>
      </c>
      <c r="F3" s="153">
        <f t="shared" ref="F3:F12" si="0">(EXP(-$B$2)*($B$2^E3))/FACT(E3)</f>
        <v>0.2706705664732254</v>
      </c>
    </row>
    <row r="4" spans="1:6" x14ac:dyDescent="0.25">
      <c r="E4" s="3">
        <v>2</v>
      </c>
      <c r="F4" s="153">
        <f t="shared" si="0"/>
        <v>0.2706705664732254</v>
      </c>
    </row>
    <row r="5" spans="1:6" x14ac:dyDescent="0.25">
      <c r="E5" s="3">
        <v>3</v>
      </c>
      <c r="F5" s="153">
        <f t="shared" si="0"/>
        <v>0.18044704431548361</v>
      </c>
    </row>
    <row r="6" spans="1:6" x14ac:dyDescent="0.25">
      <c r="A6" s="49" t="s">
        <v>98</v>
      </c>
      <c r="B6" s="52">
        <f>(EXP(-B2)*(B2^(B3)))/FACT(B3)</f>
        <v>0.2706705664732254</v>
      </c>
      <c r="E6" s="3">
        <v>4</v>
      </c>
      <c r="F6" s="153">
        <f t="shared" si="0"/>
        <v>9.0223522157741806E-2</v>
      </c>
    </row>
    <row r="7" spans="1:6" x14ac:dyDescent="0.25">
      <c r="A7" s="44"/>
      <c r="E7" s="3">
        <v>5</v>
      </c>
      <c r="F7" s="153">
        <f t="shared" si="0"/>
        <v>3.6089408863096722E-2</v>
      </c>
    </row>
    <row r="8" spans="1:6" x14ac:dyDescent="0.25">
      <c r="E8" s="3">
        <v>6</v>
      </c>
      <c r="F8" s="153">
        <f t="shared" si="0"/>
        <v>1.2029802954365574E-2</v>
      </c>
    </row>
    <row r="9" spans="1:6" x14ac:dyDescent="0.25">
      <c r="A9" s="46" t="s">
        <v>103</v>
      </c>
      <c r="B9" s="48">
        <v>0.2706705664732254</v>
      </c>
      <c r="E9" s="3">
        <v>7</v>
      </c>
      <c r="F9" s="153">
        <f t="shared" si="0"/>
        <v>3.4370865583901638E-3</v>
      </c>
    </row>
    <row r="10" spans="1:6" x14ac:dyDescent="0.25">
      <c r="A10" s="46" t="s">
        <v>104</v>
      </c>
      <c r="B10" s="48">
        <v>0.18044704431548361</v>
      </c>
      <c r="E10" s="3">
        <v>8</v>
      </c>
      <c r="F10" s="153">
        <f t="shared" si="0"/>
        <v>8.5927163959754094E-4</v>
      </c>
    </row>
    <row r="11" spans="1:6" x14ac:dyDescent="0.25">
      <c r="A11" s="46" t="s">
        <v>105</v>
      </c>
      <c r="B11" s="48">
        <v>0.1353352832366127</v>
      </c>
      <c r="E11" s="3">
        <v>9</v>
      </c>
      <c r="F11" s="153">
        <f t="shared" si="0"/>
        <v>1.9094925324389798E-4</v>
      </c>
    </row>
    <row r="12" spans="1:6" x14ac:dyDescent="0.25">
      <c r="A12" s="46" t="s">
        <v>267</v>
      </c>
      <c r="B12" s="48">
        <v>3.6089408863096722E-2</v>
      </c>
      <c r="E12" s="3">
        <v>10</v>
      </c>
      <c r="F12" s="153">
        <f t="shared" si="0"/>
        <v>3.8189850648779595E-5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>
      <selection activeCell="B14" sqref="B14"/>
    </sheetView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106</v>
      </c>
      <c r="B1" s="45"/>
      <c r="F1" s="31" t="s">
        <v>110</v>
      </c>
      <c r="G1" s="56" t="s">
        <v>143</v>
      </c>
    </row>
    <row r="2" spans="1:7" x14ac:dyDescent="0.25">
      <c r="A2" s="54" t="s">
        <v>29</v>
      </c>
      <c r="B2" s="47">
        <v>2.8000000000000001E-2</v>
      </c>
      <c r="F2" s="76">
        <v>-5</v>
      </c>
      <c r="G2" s="70">
        <f>_xlfn.NORM.S.DIST(F2,FALSE)</f>
        <v>1.4867195147342977E-6</v>
      </c>
    </row>
    <row r="3" spans="1:7" x14ac:dyDescent="0.25">
      <c r="A3" s="46" t="s">
        <v>54</v>
      </c>
      <c r="B3" s="47">
        <v>1.2E-2</v>
      </c>
      <c r="F3" s="76">
        <v>-4.9000000000000004</v>
      </c>
      <c r="G3" s="70">
        <f t="shared" ref="G3:G66" si="0">_xlfn.NORM.S.DIST(F3,FALSE)</f>
        <v>2.4389607458933522E-6</v>
      </c>
    </row>
    <row r="4" spans="1:7" x14ac:dyDescent="0.25">
      <c r="A4" s="59"/>
      <c r="B4" s="60"/>
      <c r="F4" s="76">
        <v>-4.8</v>
      </c>
      <c r="G4" s="70">
        <f t="shared" si="0"/>
        <v>3.9612990910320753E-6</v>
      </c>
    </row>
    <row r="5" spans="1:7" x14ac:dyDescent="0.25">
      <c r="F5" s="76">
        <v>-4.7</v>
      </c>
      <c r="G5" s="70">
        <f t="shared" si="0"/>
        <v>6.3698251788670899E-6</v>
      </c>
    </row>
    <row r="6" spans="1:7" x14ac:dyDescent="0.25">
      <c r="A6" s="4" t="s">
        <v>134</v>
      </c>
      <c r="B6" s="4" t="s">
        <v>110</v>
      </c>
      <c r="C6" s="4" t="s">
        <v>110</v>
      </c>
      <c r="F6" s="76">
        <v>-4.5999999999999996</v>
      </c>
      <c r="G6" s="70">
        <f t="shared" si="0"/>
        <v>1.0140852065486758E-5</v>
      </c>
    </row>
    <row r="7" spans="1:7" x14ac:dyDescent="0.25">
      <c r="A7" s="57" t="s">
        <v>107</v>
      </c>
      <c r="B7" s="58">
        <f>(4%-B2)/B3</f>
        <v>1</v>
      </c>
      <c r="C7" s="94"/>
      <c r="F7" s="76">
        <v>-4.5</v>
      </c>
      <c r="G7" s="70">
        <f t="shared" si="0"/>
        <v>1.5983741106905475E-5</v>
      </c>
    </row>
    <row r="8" spans="1:7" x14ac:dyDescent="0.25">
      <c r="A8" s="46" t="s">
        <v>108</v>
      </c>
      <c r="B8" s="55">
        <f>(3%-B2)/B3</f>
        <v>0.16666666666666652</v>
      </c>
      <c r="C8" s="94"/>
      <c r="F8" s="76">
        <v>-4.4000000000000004</v>
      </c>
      <c r="G8" s="70">
        <f t="shared" si="0"/>
        <v>2.4942471290053535E-5</v>
      </c>
    </row>
    <row r="9" spans="1:7" x14ac:dyDescent="0.25">
      <c r="A9" s="46" t="s">
        <v>109</v>
      </c>
      <c r="B9" s="55">
        <f>(0%-B2)/B3</f>
        <v>-2.3333333333333335</v>
      </c>
      <c r="C9" s="94"/>
      <c r="F9" s="76">
        <v>-4.3</v>
      </c>
      <c r="G9" s="70">
        <f t="shared" si="0"/>
        <v>3.8535196742087129E-5</v>
      </c>
    </row>
    <row r="10" spans="1:7" x14ac:dyDescent="0.25">
      <c r="A10" s="46" t="s">
        <v>259</v>
      </c>
      <c r="B10" s="55">
        <f>(1%-B2)/B3</f>
        <v>-1.5000000000000002</v>
      </c>
      <c r="C10" s="56">
        <f>(5%-B2)/B3</f>
        <v>1.8333333333333335</v>
      </c>
      <c r="F10" s="76">
        <v>-4.2</v>
      </c>
      <c r="G10" s="70">
        <f t="shared" si="0"/>
        <v>5.8943067756539855E-5</v>
      </c>
    </row>
    <row r="11" spans="1:7" x14ac:dyDescent="0.25">
      <c r="F11" s="76">
        <v>-4.0999999999999996</v>
      </c>
      <c r="G11" s="70">
        <f t="shared" si="0"/>
        <v>8.9261657177132928E-5</v>
      </c>
    </row>
    <row r="12" spans="1:7" x14ac:dyDescent="0.25">
      <c r="F12" s="76">
        <v>-4</v>
      </c>
      <c r="G12" s="70">
        <f t="shared" si="0"/>
        <v>1.3383022576488537E-4</v>
      </c>
    </row>
    <row r="13" spans="1:7" x14ac:dyDescent="0.25">
      <c r="A13" s="61" t="s">
        <v>114</v>
      </c>
      <c r="B13" s="61" t="s">
        <v>116</v>
      </c>
      <c r="C13" s="61" t="s">
        <v>115</v>
      </c>
      <c r="F13" s="76">
        <v>-3.9</v>
      </c>
      <c r="G13" s="70">
        <f t="shared" si="0"/>
        <v>1.9865547139277272E-4</v>
      </c>
    </row>
    <row r="14" spans="1:7" x14ac:dyDescent="0.25">
      <c r="A14" s="57" t="s">
        <v>111</v>
      </c>
      <c r="B14" s="164">
        <f>1-_xlfn.NORM.S.DIST(B7,TRUE)</f>
        <v>0.15865525393145696</v>
      </c>
      <c r="C14" s="62">
        <f>B14</f>
        <v>0.15865525393145696</v>
      </c>
      <c r="F14" s="76">
        <v>-3.8</v>
      </c>
      <c r="G14" s="70">
        <f t="shared" si="0"/>
        <v>2.9194692579146027E-4</v>
      </c>
    </row>
    <row r="15" spans="1:7" x14ac:dyDescent="0.25">
      <c r="A15" s="46" t="s">
        <v>112</v>
      </c>
      <c r="B15" s="164">
        <f>_xlfn.NORM.S.DIST(B8,TRUE)</f>
        <v>0.56618383261090366</v>
      </c>
      <c r="C15" s="62">
        <f>B15</f>
        <v>0.56618383261090366</v>
      </c>
      <c r="F15" s="76">
        <v>-3.7</v>
      </c>
      <c r="G15" s="70">
        <f t="shared" si="0"/>
        <v>4.2478027055075143E-4</v>
      </c>
    </row>
    <row r="16" spans="1:7" x14ac:dyDescent="0.25">
      <c r="A16" s="46" t="s">
        <v>113</v>
      </c>
      <c r="B16" s="164">
        <f>_xlfn.NORM.S.DIST(B9,TRUE)</f>
        <v>9.8153286286453353E-3</v>
      </c>
      <c r="C16" s="62">
        <f>B16</f>
        <v>9.8153286286453353E-3</v>
      </c>
      <c r="F16" s="76">
        <v>-3.6</v>
      </c>
      <c r="G16" s="70">
        <f t="shared" si="0"/>
        <v>6.119019301137719E-4</v>
      </c>
    </row>
    <row r="17" spans="1:7" x14ac:dyDescent="0.25">
      <c r="A17" s="46" t="s">
        <v>260</v>
      </c>
      <c r="B17" s="164">
        <f>_xlfn.NORM.S.DIST(C10,TRUE)-_xlfn.NORM.S.DIST(B10,TRUE)</f>
        <v>0.89981629114632466</v>
      </c>
      <c r="C17" s="62">
        <f>B17</f>
        <v>0.89981629114632466</v>
      </c>
      <c r="F17" s="76">
        <v>-3.5</v>
      </c>
      <c r="G17" s="70">
        <f t="shared" si="0"/>
        <v>8.7268269504576015E-4</v>
      </c>
    </row>
    <row r="18" spans="1:7" x14ac:dyDescent="0.25">
      <c r="F18" s="76">
        <v>-3.4</v>
      </c>
      <c r="G18" s="70">
        <f t="shared" si="0"/>
        <v>1.2322191684730199E-3</v>
      </c>
    </row>
    <row r="19" spans="1:7" x14ac:dyDescent="0.25">
      <c r="F19" s="76">
        <v>-3.3</v>
      </c>
      <c r="G19" s="70">
        <f t="shared" si="0"/>
        <v>1.7225689390536812E-3</v>
      </c>
    </row>
    <row r="20" spans="1:7" x14ac:dyDescent="0.25">
      <c r="F20" s="76">
        <v>-3.2</v>
      </c>
      <c r="G20" s="70">
        <f t="shared" si="0"/>
        <v>2.3840882014648404E-3</v>
      </c>
    </row>
    <row r="21" spans="1:7" x14ac:dyDescent="0.25">
      <c r="F21" s="76">
        <v>-3.1</v>
      </c>
      <c r="G21" s="70">
        <f t="shared" si="0"/>
        <v>3.2668190561999182E-3</v>
      </c>
    </row>
    <row r="22" spans="1:7" x14ac:dyDescent="0.25">
      <c r="F22" s="76">
        <v>-3</v>
      </c>
      <c r="G22" s="70">
        <f t="shared" si="0"/>
        <v>4.4318484119380075E-3</v>
      </c>
    </row>
    <row r="23" spans="1:7" x14ac:dyDescent="0.25">
      <c r="F23" s="76">
        <v>-2.9</v>
      </c>
      <c r="G23" s="70">
        <f t="shared" si="0"/>
        <v>5.9525324197758538E-3</v>
      </c>
    </row>
    <row r="24" spans="1:7" x14ac:dyDescent="0.25">
      <c r="F24" s="76">
        <v>-2.8</v>
      </c>
      <c r="G24" s="70">
        <f t="shared" si="0"/>
        <v>7.9154515829799686E-3</v>
      </c>
    </row>
    <row r="25" spans="1:7" x14ac:dyDescent="0.25">
      <c r="F25" s="76">
        <v>-2.7</v>
      </c>
      <c r="G25" s="70">
        <f t="shared" si="0"/>
        <v>1.0420934814422592E-2</v>
      </c>
    </row>
    <row r="26" spans="1:7" x14ac:dyDescent="0.25">
      <c r="F26" s="76">
        <v>-2.6</v>
      </c>
      <c r="G26" s="70">
        <f t="shared" si="0"/>
        <v>1.3582969233685613E-2</v>
      </c>
    </row>
    <row r="27" spans="1:7" x14ac:dyDescent="0.25">
      <c r="F27" s="76">
        <v>-2.5</v>
      </c>
      <c r="G27" s="70">
        <f t="shared" si="0"/>
        <v>1.752830049356854E-2</v>
      </c>
    </row>
    <row r="28" spans="1:7" x14ac:dyDescent="0.25">
      <c r="F28" s="76">
        <v>-2.4</v>
      </c>
      <c r="G28" s="70">
        <f t="shared" si="0"/>
        <v>2.2394530294842899E-2</v>
      </c>
    </row>
    <row r="29" spans="1:7" x14ac:dyDescent="0.25">
      <c r="F29" s="76">
        <v>-2.2999999999999998</v>
      </c>
      <c r="G29" s="70">
        <f t="shared" si="0"/>
        <v>2.8327037741601186E-2</v>
      </c>
    </row>
    <row r="30" spans="1:7" x14ac:dyDescent="0.25">
      <c r="F30" s="76">
        <v>-2.2000000000000002</v>
      </c>
      <c r="G30" s="70">
        <f t="shared" si="0"/>
        <v>3.5474592846231424E-2</v>
      </c>
    </row>
    <row r="31" spans="1:7" x14ac:dyDescent="0.25">
      <c r="F31" s="76">
        <v>-2.1</v>
      </c>
      <c r="G31" s="70">
        <f t="shared" si="0"/>
        <v>4.3983595980427191E-2</v>
      </c>
    </row>
    <row r="32" spans="1:7" x14ac:dyDescent="0.25">
      <c r="F32" s="76">
        <v>-2</v>
      </c>
      <c r="G32" s="70">
        <f t="shared" si="0"/>
        <v>5.3990966513188063E-2</v>
      </c>
    </row>
    <row r="33" spans="6:7" x14ac:dyDescent="0.25">
      <c r="F33" s="76">
        <v>-1.9</v>
      </c>
      <c r="G33" s="70">
        <f t="shared" si="0"/>
        <v>6.5615814774676595E-2</v>
      </c>
    </row>
    <row r="34" spans="6:7" x14ac:dyDescent="0.25">
      <c r="F34" s="76">
        <v>-1.8</v>
      </c>
      <c r="G34" s="70">
        <f t="shared" si="0"/>
        <v>7.8950158300894149E-2</v>
      </c>
    </row>
    <row r="35" spans="6:7" x14ac:dyDescent="0.25">
      <c r="F35" s="76">
        <v>-1.7</v>
      </c>
      <c r="G35" s="70">
        <f t="shared" si="0"/>
        <v>9.4049077376886947E-2</v>
      </c>
    </row>
    <row r="36" spans="6:7" x14ac:dyDescent="0.25">
      <c r="F36" s="76">
        <v>-1.6</v>
      </c>
      <c r="G36" s="70">
        <f t="shared" si="0"/>
        <v>0.11092083467945554</v>
      </c>
    </row>
    <row r="37" spans="6:7" x14ac:dyDescent="0.25">
      <c r="F37" s="76">
        <v>-1.5</v>
      </c>
      <c r="G37" s="70">
        <f t="shared" si="0"/>
        <v>0.12951759566589174</v>
      </c>
    </row>
    <row r="38" spans="6:7" x14ac:dyDescent="0.25">
      <c r="F38" s="76">
        <v>-1.4</v>
      </c>
      <c r="G38" s="70">
        <f t="shared" si="0"/>
        <v>0.14972746563574488</v>
      </c>
    </row>
    <row r="39" spans="6:7" x14ac:dyDescent="0.25">
      <c r="F39" s="76">
        <v>-1.3</v>
      </c>
      <c r="G39" s="70">
        <f t="shared" si="0"/>
        <v>0.17136859204780736</v>
      </c>
    </row>
    <row r="40" spans="6:7" x14ac:dyDescent="0.25">
      <c r="F40" s="76">
        <v>-1.2</v>
      </c>
      <c r="G40" s="70">
        <f t="shared" si="0"/>
        <v>0.19418605498321295</v>
      </c>
    </row>
    <row r="41" spans="6:7" x14ac:dyDescent="0.25">
      <c r="F41" s="76">
        <v>-1.1000000000000001</v>
      </c>
      <c r="G41" s="70">
        <f t="shared" si="0"/>
        <v>0.21785217703255053</v>
      </c>
    </row>
    <row r="42" spans="6:7" x14ac:dyDescent="0.25">
      <c r="F42" s="76">
        <v>-1</v>
      </c>
      <c r="G42" s="70">
        <f t="shared" si="0"/>
        <v>0.24197072451914337</v>
      </c>
    </row>
    <row r="43" spans="6:7" x14ac:dyDescent="0.25">
      <c r="F43" s="76">
        <v>-0.9</v>
      </c>
      <c r="G43" s="70">
        <f t="shared" si="0"/>
        <v>0.26608524989875482</v>
      </c>
    </row>
    <row r="44" spans="6:7" x14ac:dyDescent="0.25">
      <c r="F44" s="76">
        <v>-0.8</v>
      </c>
      <c r="G44" s="70">
        <f t="shared" si="0"/>
        <v>0.28969155276148273</v>
      </c>
    </row>
    <row r="45" spans="6:7" x14ac:dyDescent="0.25">
      <c r="F45" s="76">
        <v>-0.7</v>
      </c>
      <c r="G45" s="70">
        <f t="shared" si="0"/>
        <v>0.31225393336676127</v>
      </c>
    </row>
    <row r="46" spans="6:7" x14ac:dyDescent="0.25">
      <c r="F46" s="76">
        <v>-0.6</v>
      </c>
      <c r="G46" s="70">
        <f t="shared" si="0"/>
        <v>0.33322460289179967</v>
      </c>
    </row>
    <row r="47" spans="6:7" x14ac:dyDescent="0.25">
      <c r="F47" s="76">
        <v>-0.5</v>
      </c>
      <c r="G47" s="70">
        <f t="shared" si="0"/>
        <v>0.35206532676429952</v>
      </c>
    </row>
    <row r="48" spans="6:7" x14ac:dyDescent="0.25">
      <c r="F48" s="76">
        <v>-0.4</v>
      </c>
      <c r="G48" s="70">
        <f t="shared" si="0"/>
        <v>0.36827014030332333</v>
      </c>
    </row>
    <row r="49" spans="6:7" x14ac:dyDescent="0.25">
      <c r="F49" s="76">
        <v>-0.3</v>
      </c>
      <c r="G49" s="70">
        <f t="shared" si="0"/>
        <v>0.38138781546052414</v>
      </c>
    </row>
    <row r="50" spans="6:7" x14ac:dyDescent="0.25">
      <c r="F50" s="76">
        <v>-0.2</v>
      </c>
      <c r="G50" s="70">
        <f t="shared" si="0"/>
        <v>0.39104269397545588</v>
      </c>
    </row>
    <row r="51" spans="6:7" x14ac:dyDescent="0.25">
      <c r="F51" s="76">
        <v>-0.1</v>
      </c>
      <c r="G51" s="70">
        <f t="shared" si="0"/>
        <v>0.39695254747701181</v>
      </c>
    </row>
    <row r="52" spans="6:7" x14ac:dyDescent="0.25">
      <c r="F52" s="76">
        <v>0</v>
      </c>
      <c r="G52" s="70">
        <f t="shared" si="0"/>
        <v>0.3989422804014327</v>
      </c>
    </row>
    <row r="53" spans="6:7" x14ac:dyDescent="0.25">
      <c r="F53" s="76">
        <v>0.1</v>
      </c>
      <c r="G53" s="70">
        <f t="shared" si="0"/>
        <v>0.39695254747701181</v>
      </c>
    </row>
    <row r="54" spans="6:7" x14ac:dyDescent="0.25">
      <c r="F54" s="76">
        <v>0.2</v>
      </c>
      <c r="G54" s="70">
        <f t="shared" si="0"/>
        <v>0.39104269397545588</v>
      </c>
    </row>
    <row r="55" spans="6:7" x14ac:dyDescent="0.25">
      <c r="F55" s="76">
        <v>0.3</v>
      </c>
      <c r="G55" s="70">
        <f t="shared" si="0"/>
        <v>0.38138781546052414</v>
      </c>
    </row>
    <row r="56" spans="6:7" x14ac:dyDescent="0.25">
      <c r="F56" s="76">
        <v>0.4</v>
      </c>
      <c r="G56" s="70">
        <f t="shared" si="0"/>
        <v>0.36827014030332333</v>
      </c>
    </row>
    <row r="57" spans="6:7" x14ac:dyDescent="0.25">
      <c r="F57" s="76">
        <v>0.5</v>
      </c>
      <c r="G57" s="70">
        <f t="shared" si="0"/>
        <v>0.35206532676429952</v>
      </c>
    </row>
    <row r="58" spans="6:7" x14ac:dyDescent="0.25">
      <c r="F58" s="76">
        <v>0.6</v>
      </c>
      <c r="G58" s="70">
        <f t="shared" si="0"/>
        <v>0.33322460289179967</v>
      </c>
    </row>
    <row r="59" spans="6:7" x14ac:dyDescent="0.25">
      <c r="F59" s="76">
        <v>0.7</v>
      </c>
      <c r="G59" s="70">
        <f t="shared" si="0"/>
        <v>0.31225393336676127</v>
      </c>
    </row>
    <row r="60" spans="6:7" x14ac:dyDescent="0.25">
      <c r="F60" s="76">
        <v>0.8</v>
      </c>
      <c r="G60" s="70">
        <f t="shared" si="0"/>
        <v>0.28969155276148273</v>
      </c>
    </row>
    <row r="61" spans="6:7" x14ac:dyDescent="0.25">
      <c r="F61" s="76">
        <v>0.9</v>
      </c>
      <c r="G61" s="70">
        <f t="shared" si="0"/>
        <v>0.26608524989875482</v>
      </c>
    </row>
    <row r="62" spans="6:7" x14ac:dyDescent="0.25">
      <c r="F62" s="76">
        <v>1</v>
      </c>
      <c r="G62" s="70">
        <f t="shared" si="0"/>
        <v>0.24197072451914337</v>
      </c>
    </row>
    <row r="63" spans="6:7" x14ac:dyDescent="0.25">
      <c r="F63" s="76">
        <v>1.1000000000000001</v>
      </c>
      <c r="G63" s="70">
        <f t="shared" si="0"/>
        <v>0.21785217703255053</v>
      </c>
    </row>
    <row r="64" spans="6:7" x14ac:dyDescent="0.25">
      <c r="F64" s="76">
        <v>1.2</v>
      </c>
      <c r="G64" s="70">
        <f t="shared" si="0"/>
        <v>0.19418605498321295</v>
      </c>
    </row>
    <row r="65" spans="6:7" x14ac:dyDescent="0.25">
      <c r="F65" s="76">
        <v>1.3</v>
      </c>
      <c r="G65" s="70">
        <f t="shared" si="0"/>
        <v>0.17136859204780736</v>
      </c>
    </row>
    <row r="66" spans="6:7" x14ac:dyDescent="0.25">
      <c r="F66" s="76">
        <v>1.4</v>
      </c>
      <c r="G66" s="70">
        <f t="shared" si="0"/>
        <v>0.14972746563574488</v>
      </c>
    </row>
    <row r="67" spans="6:7" x14ac:dyDescent="0.25">
      <c r="F67" s="76">
        <v>1.5</v>
      </c>
      <c r="G67" s="70">
        <f t="shared" ref="G67:G102" si="1">_xlfn.NORM.S.DIST(F67,FALSE)</f>
        <v>0.12951759566589174</v>
      </c>
    </row>
    <row r="68" spans="6:7" x14ac:dyDescent="0.25">
      <c r="F68" s="76">
        <v>1.6</v>
      </c>
      <c r="G68" s="70">
        <f t="shared" si="1"/>
        <v>0.11092083467945554</v>
      </c>
    </row>
    <row r="69" spans="6:7" x14ac:dyDescent="0.25">
      <c r="F69" s="76">
        <v>1.7</v>
      </c>
      <c r="G69" s="70">
        <f t="shared" si="1"/>
        <v>9.4049077376886947E-2</v>
      </c>
    </row>
    <row r="70" spans="6:7" x14ac:dyDescent="0.25">
      <c r="F70" s="76">
        <v>1.8</v>
      </c>
      <c r="G70" s="70">
        <f t="shared" si="1"/>
        <v>7.8950158300894149E-2</v>
      </c>
    </row>
    <row r="71" spans="6:7" x14ac:dyDescent="0.25">
      <c r="F71" s="76">
        <v>1.9</v>
      </c>
      <c r="G71" s="70">
        <f t="shared" si="1"/>
        <v>6.5615814774676595E-2</v>
      </c>
    </row>
    <row r="72" spans="6:7" x14ac:dyDescent="0.25">
      <c r="F72" s="76">
        <v>2</v>
      </c>
      <c r="G72" s="70">
        <f t="shared" si="1"/>
        <v>5.3990966513188063E-2</v>
      </c>
    </row>
    <row r="73" spans="6:7" x14ac:dyDescent="0.25">
      <c r="F73" s="76">
        <v>2.1</v>
      </c>
      <c r="G73" s="70">
        <f t="shared" si="1"/>
        <v>4.3983595980427191E-2</v>
      </c>
    </row>
    <row r="74" spans="6:7" x14ac:dyDescent="0.25">
      <c r="F74" s="76">
        <v>2.2000000000000002</v>
      </c>
      <c r="G74" s="70">
        <f t="shared" si="1"/>
        <v>3.5474592846231424E-2</v>
      </c>
    </row>
    <row r="75" spans="6:7" x14ac:dyDescent="0.25">
      <c r="F75" s="76">
        <v>2.2999999999999998</v>
      </c>
      <c r="G75" s="70">
        <f t="shared" si="1"/>
        <v>2.8327037741601186E-2</v>
      </c>
    </row>
    <row r="76" spans="6:7" x14ac:dyDescent="0.25">
      <c r="F76" s="76">
        <v>2.4</v>
      </c>
      <c r="G76" s="70">
        <f t="shared" si="1"/>
        <v>2.2394530294842899E-2</v>
      </c>
    </row>
    <row r="77" spans="6:7" x14ac:dyDescent="0.25">
      <c r="F77" s="76">
        <v>2.5</v>
      </c>
      <c r="G77" s="70">
        <f t="shared" si="1"/>
        <v>1.752830049356854E-2</v>
      </c>
    </row>
    <row r="78" spans="6:7" x14ac:dyDescent="0.25">
      <c r="F78" s="76">
        <v>2.6</v>
      </c>
      <c r="G78" s="70">
        <f t="shared" si="1"/>
        <v>1.3582969233685613E-2</v>
      </c>
    </row>
    <row r="79" spans="6:7" x14ac:dyDescent="0.25">
      <c r="F79" s="76">
        <v>2.7</v>
      </c>
      <c r="G79" s="70">
        <f t="shared" si="1"/>
        <v>1.0420934814422592E-2</v>
      </c>
    </row>
    <row r="80" spans="6:7" x14ac:dyDescent="0.25">
      <c r="F80" s="76">
        <v>2.8</v>
      </c>
      <c r="G80" s="70">
        <f t="shared" si="1"/>
        <v>7.9154515829799686E-3</v>
      </c>
    </row>
    <row r="81" spans="6:7" x14ac:dyDescent="0.25">
      <c r="F81" s="76">
        <v>2.9</v>
      </c>
      <c r="G81" s="70">
        <f t="shared" si="1"/>
        <v>5.9525324197758538E-3</v>
      </c>
    </row>
    <row r="82" spans="6:7" x14ac:dyDescent="0.25">
      <c r="F82" s="76">
        <v>3</v>
      </c>
      <c r="G82" s="70">
        <f t="shared" si="1"/>
        <v>4.4318484119380075E-3</v>
      </c>
    </row>
    <row r="83" spans="6:7" x14ac:dyDescent="0.25">
      <c r="F83" s="76">
        <v>3.1</v>
      </c>
      <c r="G83" s="70">
        <f t="shared" si="1"/>
        <v>3.2668190561999182E-3</v>
      </c>
    </row>
    <row r="84" spans="6:7" x14ac:dyDescent="0.25">
      <c r="F84" s="76">
        <v>3.2</v>
      </c>
      <c r="G84" s="70">
        <f t="shared" si="1"/>
        <v>2.3840882014648404E-3</v>
      </c>
    </row>
    <row r="85" spans="6:7" x14ac:dyDescent="0.25">
      <c r="F85" s="76">
        <v>3.3</v>
      </c>
      <c r="G85" s="70">
        <f t="shared" si="1"/>
        <v>1.7225689390536812E-3</v>
      </c>
    </row>
    <row r="86" spans="6:7" x14ac:dyDescent="0.25">
      <c r="F86" s="76">
        <v>3.4</v>
      </c>
      <c r="G86" s="70">
        <f t="shared" si="1"/>
        <v>1.2322191684730199E-3</v>
      </c>
    </row>
    <row r="87" spans="6:7" x14ac:dyDescent="0.25">
      <c r="F87" s="76">
        <v>3.5</v>
      </c>
      <c r="G87" s="70">
        <f t="shared" si="1"/>
        <v>8.7268269504576015E-4</v>
      </c>
    </row>
    <row r="88" spans="6:7" x14ac:dyDescent="0.25">
      <c r="F88" s="76">
        <v>3.6</v>
      </c>
      <c r="G88" s="70">
        <f t="shared" si="1"/>
        <v>6.119019301137719E-4</v>
      </c>
    </row>
    <row r="89" spans="6:7" x14ac:dyDescent="0.25">
      <c r="F89" s="76">
        <v>3.7</v>
      </c>
      <c r="G89" s="70">
        <f t="shared" si="1"/>
        <v>4.2478027055075143E-4</v>
      </c>
    </row>
    <row r="90" spans="6:7" x14ac:dyDescent="0.25">
      <c r="F90" s="76">
        <v>3.8</v>
      </c>
      <c r="G90" s="70">
        <f t="shared" si="1"/>
        <v>2.9194692579146027E-4</v>
      </c>
    </row>
    <row r="91" spans="6:7" x14ac:dyDescent="0.25">
      <c r="F91" s="76">
        <v>3.9</v>
      </c>
      <c r="G91" s="70">
        <f t="shared" si="1"/>
        <v>1.9865547139277272E-4</v>
      </c>
    </row>
    <row r="92" spans="6:7" x14ac:dyDescent="0.25">
      <c r="F92" s="76">
        <v>4</v>
      </c>
      <c r="G92" s="70">
        <f t="shared" si="1"/>
        <v>1.3383022576488537E-4</v>
      </c>
    </row>
    <row r="93" spans="6:7" x14ac:dyDescent="0.25">
      <c r="F93" s="76">
        <v>4.0999999999999996</v>
      </c>
      <c r="G93" s="70">
        <f t="shared" si="1"/>
        <v>8.9261657177132928E-5</v>
      </c>
    </row>
    <row r="94" spans="6:7" x14ac:dyDescent="0.25">
      <c r="F94" s="76">
        <v>4.2</v>
      </c>
      <c r="G94" s="70">
        <f t="shared" si="1"/>
        <v>5.8943067756539855E-5</v>
      </c>
    </row>
    <row r="95" spans="6:7" x14ac:dyDescent="0.25">
      <c r="F95" s="76">
        <v>4.3</v>
      </c>
      <c r="G95" s="70">
        <f t="shared" si="1"/>
        <v>3.8535196742087129E-5</v>
      </c>
    </row>
    <row r="96" spans="6:7" x14ac:dyDescent="0.25">
      <c r="F96" s="76">
        <v>4.4000000000000004</v>
      </c>
      <c r="G96" s="70">
        <f t="shared" si="1"/>
        <v>2.4942471290053535E-5</v>
      </c>
    </row>
    <row r="97" spans="6:7" x14ac:dyDescent="0.25">
      <c r="F97" s="76">
        <v>4.5</v>
      </c>
      <c r="G97" s="70">
        <f t="shared" si="1"/>
        <v>1.5983741106905475E-5</v>
      </c>
    </row>
    <row r="98" spans="6:7" x14ac:dyDescent="0.25">
      <c r="F98" s="76">
        <v>4.5999999999999996</v>
      </c>
      <c r="G98" s="70">
        <f t="shared" si="1"/>
        <v>1.0140852065486758E-5</v>
      </c>
    </row>
    <row r="99" spans="6:7" x14ac:dyDescent="0.25">
      <c r="F99" s="76">
        <v>4.7</v>
      </c>
      <c r="G99" s="70">
        <f t="shared" si="1"/>
        <v>6.3698251788670899E-6</v>
      </c>
    </row>
    <row r="100" spans="6:7" x14ac:dyDescent="0.25">
      <c r="F100" s="76">
        <v>4.8</v>
      </c>
      <c r="G100" s="70">
        <f t="shared" si="1"/>
        <v>3.9612990910320753E-6</v>
      </c>
    </row>
    <row r="101" spans="6:7" x14ac:dyDescent="0.25">
      <c r="F101" s="76">
        <v>4.9000000000000004</v>
      </c>
      <c r="G101" s="70">
        <f t="shared" si="1"/>
        <v>2.4389607458933522E-6</v>
      </c>
    </row>
    <row r="102" spans="6:7" x14ac:dyDescent="0.25">
      <c r="F102" s="76">
        <v>5</v>
      </c>
      <c r="G102" s="7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GridLines="0" zoomScale="85" zoomScaleNormal="85" workbookViewId="0">
      <selection activeCell="E2" sqref="E2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95" t="s">
        <v>227</v>
      </c>
      <c r="B1" s="196"/>
      <c r="D1" s="31" t="s">
        <v>132</v>
      </c>
      <c r="E1" s="2" t="s">
        <v>133</v>
      </c>
    </row>
    <row r="2" spans="1:5" x14ac:dyDescent="0.25">
      <c r="A2" s="54" t="s">
        <v>131</v>
      </c>
      <c r="B2" s="51">
        <v>7</v>
      </c>
      <c r="D2" s="112">
        <v>0</v>
      </c>
      <c r="E2" s="70">
        <f>_xlfn.CHISQ.DIST(D2,$B$2,FALSE)</f>
        <v>0</v>
      </c>
    </row>
    <row r="3" spans="1:5" x14ac:dyDescent="0.25">
      <c r="A3" s="59"/>
      <c r="B3" s="60"/>
      <c r="D3" s="112">
        <v>0.5</v>
      </c>
      <c r="E3" s="70">
        <f t="shared" ref="E3:E42" si="0">_xlfn.CHISQ.DIST(D3,$B$2,FALSE)</f>
        <v>3.6615940788976876E-3</v>
      </c>
    </row>
    <row r="4" spans="1:5" x14ac:dyDescent="0.25">
      <c r="D4" s="112">
        <v>1</v>
      </c>
      <c r="E4" s="70">
        <f t="shared" si="0"/>
        <v>1.6131381634609556E-2</v>
      </c>
    </row>
    <row r="5" spans="1:5" x14ac:dyDescent="0.25">
      <c r="A5" s="4" t="s">
        <v>134</v>
      </c>
      <c r="B5" s="4" t="s">
        <v>135</v>
      </c>
      <c r="D5" s="112">
        <v>1.5</v>
      </c>
      <c r="E5" s="70">
        <f t="shared" si="0"/>
        <v>3.4619922631227436E-2</v>
      </c>
    </row>
    <row r="6" spans="1:5" x14ac:dyDescent="0.25">
      <c r="A6" s="57" t="s">
        <v>228</v>
      </c>
      <c r="B6" s="71">
        <f>_xlfn.CHISQ.DIST.RT(6,$B$2)</f>
        <v>0.53974935039555727</v>
      </c>
      <c r="D6" s="112">
        <v>2</v>
      </c>
      <c r="E6" s="70">
        <f t="shared" si="0"/>
        <v>5.5347666322745959E-2</v>
      </c>
    </row>
    <row r="7" spans="1:5" x14ac:dyDescent="0.25">
      <c r="A7" s="46" t="s">
        <v>229</v>
      </c>
      <c r="B7" s="48">
        <f>_xlfn.CHISQ.DIST(8,$B$2,TRUE)</f>
        <v>0.66740609740069212</v>
      </c>
      <c r="D7" s="112">
        <v>2.5</v>
      </c>
      <c r="E7" s="70">
        <f t="shared" si="0"/>
        <v>7.5300996945075568E-2</v>
      </c>
    </row>
    <row r="8" spans="1:5" x14ac:dyDescent="0.25">
      <c r="A8" s="46" t="s">
        <v>230</v>
      </c>
      <c r="B8" s="55">
        <f>_xlfn.CHISQ.INV.RT(5%,$B$2)</f>
        <v>14.067140449340167</v>
      </c>
      <c r="D8" s="112">
        <v>3</v>
      </c>
      <c r="E8" s="70">
        <f t="shared" si="0"/>
        <v>9.2508197882261556E-2</v>
      </c>
    </row>
    <row r="9" spans="1:5" x14ac:dyDescent="0.25">
      <c r="A9" s="46" t="s">
        <v>231</v>
      </c>
      <c r="B9" s="55">
        <f>_xlfn.CHISQ.INV(90%,$B$2)</f>
        <v>12.017036623780532</v>
      </c>
      <c r="D9" s="112">
        <v>3.5</v>
      </c>
      <c r="E9" s="70">
        <f t="shared" si="0"/>
        <v>0.10591892743038006</v>
      </c>
    </row>
    <row r="10" spans="1:5" x14ac:dyDescent="0.25">
      <c r="A10" s="73"/>
      <c r="B10" s="73"/>
      <c r="D10" s="112">
        <v>4</v>
      </c>
      <c r="E10" s="70">
        <f t="shared" si="0"/>
        <v>0.11518072856146787</v>
      </c>
    </row>
    <row r="11" spans="1:5" x14ac:dyDescent="0.25">
      <c r="A11" s="74"/>
      <c r="B11" s="74"/>
      <c r="D11" s="112">
        <v>4.5</v>
      </c>
      <c r="E11" s="70">
        <f t="shared" si="0"/>
        <v>0.12041691783892475</v>
      </c>
    </row>
    <row r="12" spans="1:5" x14ac:dyDescent="0.25">
      <c r="A12" s="75"/>
      <c r="B12" s="75"/>
      <c r="D12" s="112">
        <v>5</v>
      </c>
      <c r="E12" s="70">
        <f t="shared" si="0"/>
        <v>0.12204152134938739</v>
      </c>
    </row>
    <row r="13" spans="1:5" x14ac:dyDescent="0.25">
      <c r="A13" s="74"/>
      <c r="B13" s="75"/>
      <c r="D13" s="112">
        <v>5.5</v>
      </c>
      <c r="E13" s="70">
        <f t="shared" si="0"/>
        <v>0.12061899490769887</v>
      </c>
    </row>
    <row r="14" spans="1:5" x14ac:dyDescent="0.25">
      <c r="A14" s="74"/>
      <c r="B14" s="75"/>
      <c r="D14" s="112">
        <v>6</v>
      </c>
      <c r="E14" s="70">
        <f t="shared" si="0"/>
        <v>0.11676521599113954</v>
      </c>
    </row>
    <row r="15" spans="1:5" x14ac:dyDescent="0.25">
      <c r="A15" s="74"/>
      <c r="B15" s="75"/>
      <c r="D15" s="112">
        <v>6.5</v>
      </c>
      <c r="E15" s="70">
        <f t="shared" si="0"/>
        <v>0.11108236874967573</v>
      </c>
    </row>
    <row r="16" spans="1:5" x14ac:dyDescent="0.25">
      <c r="A16" s="74"/>
      <c r="B16" s="75"/>
      <c r="D16" s="112">
        <v>7</v>
      </c>
      <c r="E16" s="70">
        <f t="shared" si="0"/>
        <v>0.10411977480817197</v>
      </c>
    </row>
    <row r="17" spans="1:5" x14ac:dyDescent="0.25">
      <c r="A17" s="74"/>
      <c r="B17" s="74"/>
      <c r="D17" s="112">
        <v>7.5</v>
      </c>
      <c r="E17" s="70">
        <f t="shared" si="0"/>
        <v>9.6353536222672967E-2</v>
      </c>
    </row>
    <row r="18" spans="1:5" x14ac:dyDescent="0.25">
      <c r="A18" s="74"/>
      <c r="B18" s="74"/>
      <c r="D18" s="112">
        <v>8</v>
      </c>
      <c r="E18" s="70">
        <f t="shared" si="0"/>
        <v>8.8179137510792774E-2</v>
      </c>
    </row>
    <row r="19" spans="1:5" x14ac:dyDescent="0.25">
      <c r="A19" s="74"/>
      <c r="B19" s="74"/>
      <c r="D19" s="112">
        <v>8.5</v>
      </c>
      <c r="E19" s="70">
        <f t="shared" si="0"/>
        <v>7.9912473414960522E-2</v>
      </c>
    </row>
    <row r="20" spans="1:5" x14ac:dyDescent="0.25">
      <c r="A20" s="72"/>
      <c r="B20" s="72"/>
      <c r="D20" s="112">
        <v>9</v>
      </c>
      <c r="E20" s="70">
        <f t="shared" si="0"/>
        <v>7.1795944273395709E-2</v>
      </c>
    </row>
    <row r="21" spans="1:5" x14ac:dyDescent="0.25">
      <c r="D21" s="112">
        <v>9.5</v>
      </c>
      <c r="E21" s="70">
        <f t="shared" si="0"/>
        <v>6.4007229709554969E-2</v>
      </c>
    </row>
    <row r="22" spans="1:5" x14ac:dyDescent="0.25">
      <c r="D22" s="112">
        <v>10</v>
      </c>
      <c r="E22" s="70">
        <f t="shared" si="0"/>
        <v>5.6669110683468943E-2</v>
      </c>
    </row>
    <row r="23" spans="1:5" x14ac:dyDescent="0.25">
      <c r="D23" s="112">
        <v>10.5</v>
      </c>
      <c r="E23" s="70">
        <f t="shared" si="0"/>
        <v>4.9859282494261081E-2</v>
      </c>
    </row>
    <row r="24" spans="1:5" x14ac:dyDescent="0.25">
      <c r="D24" s="112">
        <v>11</v>
      </c>
      <c r="E24" s="70">
        <f t="shared" si="0"/>
        <v>4.3619518695112963E-2</v>
      </c>
    </row>
    <row r="25" spans="1:5" x14ac:dyDescent="0.25">
      <c r="D25" s="112">
        <v>11.5</v>
      </c>
      <c r="E25" s="70">
        <f t="shared" si="0"/>
        <v>3.7963840203407165E-2</v>
      </c>
    </row>
    <row r="26" spans="1:5" x14ac:dyDescent="0.25">
      <c r="D26" s="112">
        <v>12</v>
      </c>
      <c r="E26" s="70">
        <f t="shared" si="0"/>
        <v>3.2885544001058489E-2</v>
      </c>
    </row>
    <row r="27" spans="1:5" x14ac:dyDescent="0.25">
      <c r="D27" s="112">
        <v>12.5</v>
      </c>
      <c r="E27" s="70">
        <f t="shared" si="0"/>
        <v>2.83630759160509E-2</v>
      </c>
    </row>
    <row r="28" spans="1:5" x14ac:dyDescent="0.25">
      <c r="D28" s="112">
        <v>13</v>
      </c>
      <c r="E28" s="70">
        <f t="shared" si="0"/>
        <v>2.4364811465178757E-2</v>
      </c>
    </row>
    <row r="29" spans="1:5" x14ac:dyDescent="0.25">
      <c r="D29" s="112">
        <v>13.5</v>
      </c>
      <c r="E29" s="70">
        <f t="shared" si="0"/>
        <v>2.0852852684496753E-2</v>
      </c>
    </row>
    <row r="30" spans="1:5" x14ac:dyDescent="0.25">
      <c r="D30" s="112">
        <v>14</v>
      </c>
      <c r="E30" s="70">
        <f t="shared" si="0"/>
        <v>1.7785968656399267E-2</v>
      </c>
    </row>
    <row r="31" spans="1:5" x14ac:dyDescent="0.25">
      <c r="D31" s="112">
        <v>14.5</v>
      </c>
      <c r="E31" s="70">
        <f t="shared" si="0"/>
        <v>1.5121811446552865E-2</v>
      </c>
    </row>
    <row r="32" spans="1:5" x14ac:dyDescent="0.25">
      <c r="D32" s="112">
        <v>15</v>
      </c>
      <c r="E32" s="70">
        <f t="shared" si="0"/>
        <v>1.2818533423821167E-2</v>
      </c>
    </row>
    <row r="33" spans="4:5" x14ac:dyDescent="0.25">
      <c r="D33" s="112">
        <v>15.5</v>
      </c>
      <c r="E33" s="70">
        <f t="shared" si="0"/>
        <v>1.083592068364625E-2</v>
      </c>
    </row>
    <row r="34" spans="4:5" x14ac:dyDescent="0.25">
      <c r="D34" s="112">
        <v>16</v>
      </c>
      <c r="E34" s="70">
        <f t="shared" si="0"/>
        <v>9.136143412216172E-3</v>
      </c>
    </row>
    <row r="35" spans="4:5" x14ac:dyDescent="0.25">
      <c r="D35" s="112">
        <v>16.5</v>
      </c>
      <c r="E35" s="70">
        <f t="shared" si="0"/>
        <v>7.6842094074924781E-3</v>
      </c>
    </row>
    <row r="36" spans="4:5" x14ac:dyDescent="0.25">
      <c r="D36" s="112">
        <v>17</v>
      </c>
      <c r="E36" s="70">
        <f t="shared" si="0"/>
        <v>6.4481927955769855E-3</v>
      </c>
    </row>
    <row r="37" spans="4:5" x14ac:dyDescent="0.25">
      <c r="D37" s="112">
        <v>17.5</v>
      </c>
      <c r="E37" s="70">
        <f t="shared" si="0"/>
        <v>5.3992969302881014E-3</v>
      </c>
    </row>
    <row r="38" spans="4:5" x14ac:dyDescent="0.25">
      <c r="D38" s="112">
        <v>18</v>
      </c>
      <c r="E38" s="70">
        <f t="shared" si="0"/>
        <v>4.5117988830746317E-3</v>
      </c>
    </row>
    <row r="39" spans="4:5" x14ac:dyDescent="0.25">
      <c r="D39" s="112">
        <v>18.5</v>
      </c>
      <c r="E39" s="70">
        <f t="shared" si="0"/>
        <v>3.7629129375096899E-3</v>
      </c>
    </row>
    <row r="40" spans="4:5" x14ac:dyDescent="0.25">
      <c r="D40" s="112">
        <v>19</v>
      </c>
      <c r="E40" s="70">
        <f t="shared" si="0"/>
        <v>3.1326020735592563E-3</v>
      </c>
    </row>
    <row r="41" spans="4:5" x14ac:dyDescent="0.25">
      <c r="D41" s="112">
        <v>19.5</v>
      </c>
      <c r="E41" s="70">
        <f t="shared" si="0"/>
        <v>2.6033594537907497E-3</v>
      </c>
    </row>
    <row r="42" spans="4:5" x14ac:dyDescent="0.25">
      <c r="D42" s="112">
        <v>20</v>
      </c>
      <c r="E42" s="70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Matheus Ferreira</cp:lastModifiedBy>
  <dcterms:created xsi:type="dcterms:W3CDTF">2021-03-14T12:58:54Z</dcterms:created>
  <dcterms:modified xsi:type="dcterms:W3CDTF">2022-10-15T22:00:56Z</dcterms:modified>
</cp:coreProperties>
</file>